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eso\OneDrive\Desktop\"/>
    </mc:Choice>
  </mc:AlternateContent>
  <xr:revisionPtr revIDLastSave="0" documentId="13_ncr:1_{878DFCAC-D215-49AC-B368-25ACB1C9336C}" xr6:coauthVersionLast="47" xr6:coauthVersionMax="47" xr10:uidLastSave="{00000000-0000-0000-0000-000000000000}"/>
  <bookViews>
    <workbookView xWindow="-120" yWindow="-120" windowWidth="29040" windowHeight="15720" xr2:uid="{838265BB-8B01-4948-A3D1-C54EC5321509}"/>
  </bookViews>
  <sheets>
    <sheet name="แผนงานก่อสร้าง" sheetId="1" r:id="rId1"/>
    <sheet name="BOQ" sheetId="2" r:id="rId2"/>
  </sheets>
  <definedNames>
    <definedName name="_xlnm.Print_Area" localSheetId="0">แผนงานก่อสร้าง!$B$1:$AG$70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37" i="1" l="1" a="1"/>
  <c r="AS37" i="1" s="1"/>
  <c r="AS38" i="1" a="1"/>
  <c r="AS38" i="1" s="1"/>
  <c r="BF17" i="1"/>
  <c r="BF16" i="1"/>
  <c r="BF15" i="1"/>
  <c r="BF14" i="1"/>
  <c r="BF13" i="1"/>
  <c r="BF12" i="1"/>
  <c r="BF11" i="1"/>
  <c r="BF10" i="1"/>
  <c r="BF9" i="1"/>
  <c r="BF8" i="1"/>
  <c r="AF67" i="1"/>
  <c r="AD67" i="1"/>
  <c r="AB67" i="1"/>
  <c r="Z67" i="1"/>
  <c r="X67" i="1"/>
  <c r="V67" i="1"/>
  <c r="T67" i="1"/>
  <c r="R67" i="1"/>
  <c r="P67" i="1"/>
  <c r="BG17" i="1"/>
  <c r="BG16" i="1"/>
  <c r="BG15" i="1"/>
  <c r="BG14" i="1"/>
  <c r="BG13" i="1"/>
  <c r="BG12" i="1"/>
  <c r="AV34" i="1" a="1"/>
  <c r="AV34" i="1" s="1"/>
  <c r="AV35" i="1" s="1"/>
  <c r="BD17" i="1"/>
  <c r="BE17" i="1" s="1"/>
  <c r="BD16" i="1"/>
  <c r="BE16" i="1" s="1"/>
  <c r="BD15" i="1"/>
  <c r="BE15" i="1" s="1"/>
  <c r="BD14" i="1"/>
  <c r="BE14" i="1" s="1"/>
  <c r="BD13" i="1"/>
  <c r="BE13" i="1" s="1"/>
  <c r="BD12" i="1"/>
  <c r="BE12" i="1" s="1"/>
  <c r="BD11" i="1"/>
  <c r="BE11" i="1" s="1"/>
  <c r="BD10" i="1"/>
  <c r="BE10" i="1" s="1"/>
  <c r="BD9" i="1"/>
  <c r="BE9" i="1" s="1"/>
  <c r="AS36" i="1" s="1" a="1"/>
  <c r="AS36" i="1" s="1"/>
  <c r="BD8" i="1"/>
  <c r="BE8" i="1" s="1"/>
  <c r="AQ39" i="1" l="1" a="1"/>
  <c r="AQ39" i="1" s="1"/>
  <c r="I9" i="1"/>
  <c r="L63" i="1"/>
  <c r="AR9" i="1"/>
  <c r="AR8" i="1" s="1"/>
  <c r="AQ8" i="1" s="1"/>
  <c r="AR11" i="1"/>
  <c r="AR10" i="1" s="1"/>
  <c r="AQ10" i="1" s="1"/>
  <c r="AR13" i="1"/>
  <c r="AR12" i="1" s="1"/>
  <c r="AQ12" i="1" s="1"/>
  <c r="AR15" i="1"/>
  <c r="AR14" i="1" s="1"/>
  <c r="AQ14" i="1" s="1"/>
  <c r="AR17" i="1"/>
  <c r="AR16" i="1" s="1"/>
  <c r="AQ16" i="1" s="1"/>
  <c r="AR19" i="1"/>
  <c r="AR18" i="1" s="1"/>
  <c r="AQ18" i="1" s="1"/>
  <c r="V69" i="1" s="1"/>
  <c r="AR21" i="1"/>
  <c r="AR20" i="1" s="1"/>
  <c r="AQ20" i="1" s="1"/>
  <c r="T69" i="1" s="1"/>
  <c r="AR23" i="1"/>
  <c r="AR22" i="1" s="1"/>
  <c r="AQ22" i="1" s="1"/>
  <c r="R69" i="1" s="1"/>
  <c r="AR25" i="1"/>
  <c r="AR24" i="1" s="1"/>
  <c r="AR27" i="1"/>
  <c r="AR26" i="1" s="1"/>
  <c r="N67" i="1" s="1"/>
  <c r="AV26" i="1"/>
  <c r="BC8" i="1" s="1"/>
  <c r="AV27" i="1"/>
  <c r="AV28" i="1"/>
  <c r="L59" i="1"/>
  <c r="L60" i="1"/>
  <c r="L61" i="1"/>
  <c r="L62" i="1"/>
  <c r="L58" i="1"/>
  <c r="N85" i="2"/>
  <c r="N89" i="2"/>
  <c r="M89" i="2"/>
  <c r="K89" i="2"/>
  <c r="M88" i="2"/>
  <c r="K88" i="2"/>
  <c r="N88" i="2" s="1"/>
  <c r="I88" i="2"/>
  <c r="M87" i="2"/>
  <c r="L51" i="1"/>
  <c r="L52" i="1"/>
  <c r="L53" i="1"/>
  <c r="L54" i="1"/>
  <c r="L55" i="1"/>
  <c r="L56" i="1"/>
  <c r="L50" i="1"/>
  <c r="L43" i="1"/>
  <c r="L44" i="1"/>
  <c r="L45" i="1"/>
  <c r="L46" i="1"/>
  <c r="L47" i="1"/>
  <c r="L48" i="1"/>
  <c r="L42" i="1"/>
  <c r="N77" i="2"/>
  <c r="M77" i="2"/>
  <c r="K77" i="2"/>
  <c r="N81" i="2"/>
  <c r="M81" i="2"/>
  <c r="K81" i="2"/>
  <c r="N73" i="2"/>
  <c r="M73" i="2"/>
  <c r="K73" i="2"/>
  <c r="N83" i="2"/>
  <c r="N82" i="2"/>
  <c r="M82" i="2"/>
  <c r="M83" i="2"/>
  <c r="K83" i="2"/>
  <c r="K82" i="2"/>
  <c r="J82" i="2"/>
  <c r="N80" i="2"/>
  <c r="N79" i="2"/>
  <c r="N78" i="2"/>
  <c r="M79" i="2"/>
  <c r="M80" i="2"/>
  <c r="K79" i="2"/>
  <c r="K80" i="2"/>
  <c r="M78" i="2"/>
  <c r="K78" i="2"/>
  <c r="N75" i="2"/>
  <c r="M75" i="2"/>
  <c r="K75" i="2"/>
  <c r="N74" i="2"/>
  <c r="N69" i="2" s="1"/>
  <c r="M74" i="2"/>
  <c r="K74" i="2"/>
  <c r="K69" i="2" s="1"/>
  <c r="J74" i="2"/>
  <c r="N72" i="2"/>
  <c r="M72" i="2"/>
  <c r="K72" i="2"/>
  <c r="N71" i="2"/>
  <c r="M71" i="2"/>
  <c r="K71" i="2"/>
  <c r="M70" i="2"/>
  <c r="K70" i="2"/>
  <c r="N70" i="2" s="1"/>
  <c r="I81" i="2"/>
  <c r="I73" i="2"/>
  <c r="I78" i="2"/>
  <c r="I70" i="2"/>
  <c r="L39" i="1"/>
  <c r="L40" i="1"/>
  <c r="L38" i="1"/>
  <c r="N65" i="2"/>
  <c r="M65" i="2"/>
  <c r="K65" i="2"/>
  <c r="N54" i="2"/>
  <c r="M54" i="2"/>
  <c r="K54" i="2"/>
  <c r="L28" i="1"/>
  <c r="L29" i="1"/>
  <c r="L30" i="1"/>
  <c r="L31" i="1"/>
  <c r="L32" i="1"/>
  <c r="L33" i="1"/>
  <c r="L34" i="1"/>
  <c r="L35" i="1"/>
  <c r="L36" i="1"/>
  <c r="L27" i="1"/>
  <c r="M67" i="2"/>
  <c r="N67" i="2" s="1"/>
  <c r="M68" i="2"/>
  <c r="K67" i="2"/>
  <c r="K68" i="2"/>
  <c r="N66" i="2"/>
  <c r="M66" i="2"/>
  <c r="K66" i="2"/>
  <c r="N64" i="2"/>
  <c r="N63" i="2"/>
  <c r="M64" i="2"/>
  <c r="M63" i="2"/>
  <c r="K64" i="2"/>
  <c r="K63" i="2"/>
  <c r="I64" i="2"/>
  <c r="I63" i="2"/>
  <c r="N62" i="2"/>
  <c r="M62" i="2"/>
  <c r="K62" i="2"/>
  <c r="M61" i="2"/>
  <c r="K61" i="2"/>
  <c r="N60" i="2"/>
  <c r="M60" i="2"/>
  <c r="K60" i="2"/>
  <c r="N59" i="2"/>
  <c r="M59" i="2"/>
  <c r="K59" i="2"/>
  <c r="I59" i="2"/>
  <c r="N58" i="2"/>
  <c r="M58" i="2"/>
  <c r="K58" i="2"/>
  <c r="N56" i="2"/>
  <c r="N57" i="2"/>
  <c r="M55" i="2"/>
  <c r="K55" i="2"/>
  <c r="I55" i="2"/>
  <c r="M57" i="2"/>
  <c r="K57" i="2"/>
  <c r="M56" i="2"/>
  <c r="K56" i="2"/>
  <c r="L25" i="1"/>
  <c r="L24" i="1"/>
  <c r="L23" i="1"/>
  <c r="L22" i="1"/>
  <c r="L21" i="1"/>
  <c r="L20" i="1"/>
  <c r="L19" i="1"/>
  <c r="L18" i="1"/>
  <c r="L16" i="1"/>
  <c r="L15" i="1"/>
  <c r="L14" i="1"/>
  <c r="L13" i="1"/>
  <c r="L12" i="1"/>
  <c r="L10" i="1"/>
  <c r="L9" i="1"/>
  <c r="I53" i="2"/>
  <c r="M53" i="2" s="1"/>
  <c r="I30" i="2"/>
  <c r="M30" i="2" s="1"/>
  <c r="I50" i="2"/>
  <c r="M50" i="2" s="1"/>
  <c r="I49" i="2"/>
  <c r="M49" i="2" s="1"/>
  <c r="I52" i="2"/>
  <c r="M52" i="2" s="1"/>
  <c r="I43" i="2"/>
  <c r="M43" i="2" s="1"/>
  <c r="I42" i="2"/>
  <c r="M42" i="2" s="1"/>
  <c r="I41" i="2"/>
  <c r="M41" i="2" s="1"/>
  <c r="I40" i="2"/>
  <c r="M40" i="2" s="1"/>
  <c r="I39" i="2"/>
  <c r="M39" i="2" s="1"/>
  <c r="I34" i="2"/>
  <c r="M34" i="2" s="1"/>
  <c r="I35" i="2"/>
  <c r="M35" i="2" s="1"/>
  <c r="I36" i="2"/>
  <c r="M36" i="2" s="1"/>
  <c r="I37" i="2"/>
  <c r="M37" i="2" s="1"/>
  <c r="I33" i="2"/>
  <c r="M33" i="2" s="1"/>
  <c r="M38" i="2"/>
  <c r="K38" i="2"/>
  <c r="I29" i="2"/>
  <c r="K29" i="2" s="1"/>
  <c r="I27" i="2"/>
  <c r="M27" i="2" s="1"/>
  <c r="I28" i="2"/>
  <c r="M28" i="2" s="1"/>
  <c r="M20" i="2"/>
  <c r="M21" i="2"/>
  <c r="M22" i="2"/>
  <c r="M17" i="2"/>
  <c r="K20" i="2"/>
  <c r="K21" i="2"/>
  <c r="K22" i="2"/>
  <c r="K17" i="2"/>
  <c r="M12" i="2"/>
  <c r="K12" i="2"/>
  <c r="L10" i="2"/>
  <c r="J10" i="2"/>
  <c r="I25" i="2"/>
  <c r="M25" i="2" s="1"/>
  <c r="I24" i="2"/>
  <c r="M24" i="2" s="1"/>
  <c r="I18" i="2"/>
  <c r="M18" i="2" s="1"/>
  <c r="I19" i="2"/>
  <c r="K19" i="2" s="1"/>
  <c r="I15" i="2"/>
  <c r="M15" i="2" s="1"/>
  <c r="N15" i="2" s="1"/>
  <c r="I14" i="2"/>
  <c r="M14" i="2" s="1"/>
  <c r="N14" i="2" s="1"/>
  <c r="I9" i="2"/>
  <c r="I10" i="2" s="1"/>
  <c r="B64" i="1"/>
  <c r="X69" i="1" l="1"/>
  <c r="Z69" i="1"/>
  <c r="AB69" i="1"/>
  <c r="AD69" i="1"/>
  <c r="AF69" i="1"/>
  <c r="AQ26" i="1"/>
  <c r="N69" i="1" s="1"/>
  <c r="L26" i="1"/>
  <c r="K87" i="2"/>
  <c r="N87" i="2" s="1"/>
  <c r="L49" i="1"/>
  <c r="L41" i="1"/>
  <c r="M69" i="2"/>
  <c r="L37" i="1"/>
  <c r="N68" i="2"/>
  <c r="N61" i="2"/>
  <c r="N55" i="2"/>
  <c r="L17" i="1"/>
  <c r="L11" i="1"/>
  <c r="L8" i="1"/>
  <c r="M51" i="2"/>
  <c r="M48" i="2"/>
  <c r="K30" i="2"/>
  <c r="N30" i="2" s="1"/>
  <c r="K53" i="2"/>
  <c r="N53" i="2" s="1"/>
  <c r="K49" i="2"/>
  <c r="K50" i="2"/>
  <c r="N50" i="2" s="1"/>
  <c r="K52" i="2"/>
  <c r="I46" i="2"/>
  <c r="I45" i="2"/>
  <c r="M32" i="2"/>
  <c r="K42" i="2"/>
  <c r="N42" i="2" s="1"/>
  <c r="K43" i="2"/>
  <c r="N43" i="2" s="1"/>
  <c r="K40" i="2"/>
  <c r="N40" i="2" s="1"/>
  <c r="K41" i="2"/>
  <c r="N41" i="2" s="1"/>
  <c r="N38" i="2"/>
  <c r="K33" i="2"/>
  <c r="K39" i="2"/>
  <c r="N39" i="2" s="1"/>
  <c r="K34" i="2"/>
  <c r="N34" i="2" s="1"/>
  <c r="K35" i="2"/>
  <c r="N35" i="2" s="1"/>
  <c r="K37" i="2"/>
  <c r="N37" i="2" s="1"/>
  <c r="K36" i="2"/>
  <c r="N36" i="2" s="1"/>
  <c r="M29" i="2"/>
  <c r="M26" i="2" s="1"/>
  <c r="K28" i="2"/>
  <c r="N28" i="2" s="1"/>
  <c r="K27" i="2"/>
  <c r="N12" i="2"/>
  <c r="N22" i="2"/>
  <c r="N21" i="2"/>
  <c r="M9" i="2"/>
  <c r="K10" i="2"/>
  <c r="K8" i="2" s="1"/>
  <c r="M10" i="2"/>
  <c r="N13" i="2"/>
  <c r="N17" i="2"/>
  <c r="N20" i="2"/>
  <c r="M13" i="2"/>
  <c r="K18" i="2"/>
  <c r="K16" i="2" s="1"/>
  <c r="M23" i="2"/>
  <c r="M19" i="2"/>
  <c r="N19" i="2" s="1"/>
  <c r="K24" i="2"/>
  <c r="K25" i="2"/>
  <c r="N25" i="2" s="1"/>
  <c r="I16" i="2"/>
  <c r="AL37" i="1"/>
  <c r="AK37" i="1"/>
  <c r="AK35" i="1"/>
  <c r="AL35" i="1" s="1"/>
  <c r="AL36" i="1" s="1"/>
  <c r="AK32" i="1"/>
  <c r="AK33" i="1" s="1"/>
  <c r="AL33" i="1"/>
  <c r="AL34" i="1" s="1"/>
  <c r="AN31" i="1"/>
  <c r="AL30" i="1"/>
  <c r="AL31" i="1" s="1"/>
  <c r="AK30" i="1"/>
  <c r="AK28" i="1"/>
  <c r="AN27" i="1"/>
  <c r="AN29" i="1" s="1"/>
  <c r="AM27" i="1"/>
  <c r="AM29" i="1" s="1"/>
  <c r="AL26" i="1"/>
  <c r="AL27" i="1" s="1"/>
  <c r="AL28" i="1" s="1"/>
  <c r="AK26" i="1"/>
  <c r="AK27" i="1" s="1"/>
  <c r="AN25" i="1"/>
  <c r="AM25" i="1"/>
  <c r="AL24" i="1"/>
  <c r="AL25" i="1" s="1"/>
  <c r="AK24" i="1"/>
  <c r="AL23" i="1"/>
  <c r="AK21" i="1"/>
  <c r="AL21" i="1" s="1"/>
  <c r="AK19" i="1"/>
  <c r="AL19" i="1" s="1"/>
  <c r="AL20" i="1" s="1"/>
  <c r="AL18" i="1"/>
  <c r="AK16" i="1"/>
  <c r="AL16" i="1" s="1"/>
  <c r="AK14" i="1"/>
  <c r="AL14" i="1" s="1"/>
  <c r="AL15" i="1" s="1"/>
  <c r="AK11" i="1"/>
  <c r="AL11" i="1" s="1"/>
  <c r="AN9" i="1"/>
  <c r="AM9" i="1" s="1"/>
  <c r="AM10" i="1" s="1"/>
  <c r="AL9" i="1"/>
  <c r="AK9" i="1"/>
  <c r="AL10" i="1" s="1"/>
  <c r="AL8" i="1"/>
  <c r="AK12" i="1" l="1"/>
  <c r="AL12" i="1" s="1"/>
  <c r="AL13" i="1" s="1"/>
  <c r="N52" i="2"/>
  <c r="N51" i="2" s="1"/>
  <c r="K51" i="2"/>
  <c r="N49" i="2"/>
  <c r="N48" i="2" s="1"/>
  <c r="K48" i="2"/>
  <c r="K26" i="2"/>
  <c r="M45" i="2"/>
  <c r="K45" i="2"/>
  <c r="M46" i="2"/>
  <c r="K46" i="2"/>
  <c r="I47" i="2"/>
  <c r="K32" i="2"/>
  <c r="N33" i="2"/>
  <c r="N29" i="2"/>
  <c r="N27" i="2"/>
  <c r="N10" i="2"/>
  <c r="N9" i="2"/>
  <c r="M8" i="2"/>
  <c r="N18" i="2"/>
  <c r="N16" i="2" s="1"/>
  <c r="M16" i="2"/>
  <c r="M11" i="2" s="1"/>
  <c r="K23" i="2"/>
  <c r="N24" i="2"/>
  <c r="AM30" i="1"/>
  <c r="AM31" i="1" s="1"/>
  <c r="AM32" i="1"/>
  <c r="AM11" i="1"/>
  <c r="AN11" i="1" s="1"/>
  <c r="AN10" i="1"/>
  <c r="AN30" i="1"/>
  <c r="AN32" i="1"/>
  <c r="BL137" i="1" l="1"/>
  <c r="N32" i="2"/>
  <c r="K11" i="2"/>
  <c r="N26" i="2"/>
  <c r="M47" i="2"/>
  <c r="M44" i="2" s="1"/>
  <c r="M31" i="2" s="1"/>
  <c r="K47" i="2"/>
  <c r="K44" i="2" s="1"/>
  <c r="K31" i="2" s="1"/>
  <c r="N46" i="2"/>
  <c r="N45" i="2"/>
  <c r="N8" i="2"/>
  <c r="N23" i="2"/>
  <c r="BL148" i="1" l="1"/>
  <c r="BL144" i="1"/>
  <c r="BL136" i="1"/>
  <c r="BL145" i="1"/>
  <c r="BL143" i="1"/>
  <c r="BL146" i="1"/>
  <c r="BL142" i="1"/>
  <c r="BL149" i="1"/>
  <c r="BL141" i="1"/>
  <c r="BL135" i="1"/>
  <c r="BL140" i="1"/>
  <c r="BL138" i="1"/>
  <c r="BL139" i="1"/>
  <c r="BL147" i="1"/>
  <c r="N47" i="2"/>
  <c r="N44" i="2" s="1"/>
  <c r="N31" i="2" s="1"/>
  <c r="N11" i="2"/>
  <c r="J9" i="1" l="1"/>
  <c r="K9" i="1" l="1"/>
  <c r="I10" i="1"/>
  <c r="I8" i="1" s="1"/>
  <c r="J10" i="1" l="1"/>
  <c r="I12" i="1" l="1"/>
  <c r="J8" i="1"/>
  <c r="K10" i="1"/>
  <c r="K8" i="1" l="1"/>
  <c r="J12" i="1"/>
  <c r="AN7" i="1" l="1"/>
  <c r="I13" i="1"/>
  <c r="K12" i="1"/>
  <c r="I14" i="1" l="1"/>
  <c r="J14" i="1" s="1"/>
  <c r="J13" i="1"/>
  <c r="K13" i="1" l="1"/>
  <c r="I15" i="1"/>
  <c r="K14" i="1"/>
  <c r="J15" i="1" l="1"/>
  <c r="I16" i="1" l="1"/>
  <c r="K15" i="1"/>
  <c r="J16" i="1" l="1"/>
  <c r="I11" i="1"/>
  <c r="I18" i="1" l="1"/>
  <c r="K16" i="1"/>
  <c r="J11" i="1"/>
  <c r="K11" i="1" l="1"/>
  <c r="AN12" i="1" s="1"/>
  <c r="AM12" i="1" s="1"/>
  <c r="AM13" i="1" s="1"/>
  <c r="J18" i="1"/>
  <c r="AM14" i="1" l="1"/>
  <c r="AN14" i="1" s="1"/>
  <c r="AM15" i="1" s="1"/>
  <c r="AN15" i="1" s="1"/>
  <c r="AN16" i="1" s="1"/>
  <c r="AN13" i="1"/>
  <c r="I19" i="1"/>
  <c r="K18" i="1"/>
  <c r="J19" i="1" l="1"/>
  <c r="I20" i="1" l="1"/>
  <c r="K19" i="1"/>
  <c r="J20" i="1" l="1"/>
  <c r="I21" i="1" l="1"/>
  <c r="K20" i="1"/>
  <c r="J21" i="1" l="1"/>
  <c r="I22" i="1" l="1"/>
  <c r="K21" i="1"/>
  <c r="J22" i="1" l="1"/>
  <c r="I23" i="1" l="1"/>
  <c r="J23" i="1" s="1"/>
  <c r="K22" i="1"/>
  <c r="I24" i="1" l="1"/>
  <c r="J24" i="1" s="1"/>
  <c r="K23" i="1"/>
  <c r="I25" i="1" l="1"/>
  <c r="K24" i="1"/>
  <c r="J25" i="1" l="1"/>
  <c r="I17" i="1"/>
  <c r="I27" i="1" l="1"/>
  <c r="K25" i="1"/>
  <c r="J17" i="1"/>
  <c r="K17" i="1" l="1"/>
  <c r="AM17" i="1" s="1"/>
  <c r="AN17" i="1" s="1"/>
  <c r="J27" i="1"/>
  <c r="AM18" i="1" l="1"/>
  <c r="AN18" i="1"/>
  <c r="AN19" i="1" s="1"/>
  <c r="AM19" i="1" s="1"/>
  <c r="AM20" i="1" s="1"/>
  <c r="I28" i="1"/>
  <c r="K27" i="1"/>
  <c r="AM21" i="1" l="1"/>
  <c r="AN20" i="1"/>
  <c r="J28" i="1"/>
  <c r="AN21" i="1" l="1"/>
  <c r="I29" i="1"/>
  <c r="K28" i="1"/>
  <c r="J29" i="1" l="1"/>
  <c r="I33" i="1" l="1"/>
  <c r="J33" i="1" s="1"/>
  <c r="I35" i="1"/>
  <c r="J35" i="1" s="1"/>
  <c r="I30" i="1"/>
  <c r="K29" i="1"/>
  <c r="I36" i="1" l="1"/>
  <c r="J36" i="1" s="1"/>
  <c r="K35" i="1"/>
  <c r="J30" i="1"/>
  <c r="I34" i="1"/>
  <c r="J34" i="1" s="1"/>
  <c r="K33" i="1"/>
  <c r="I38" i="1" l="1"/>
  <c r="K34" i="1"/>
  <c r="I31" i="1"/>
  <c r="K30" i="1"/>
  <c r="I42" i="1"/>
  <c r="K36" i="1"/>
  <c r="J31" i="1" l="1"/>
  <c r="J42" i="1"/>
  <c r="I43" i="1"/>
  <c r="J43" i="1" s="1"/>
  <c r="J38" i="1"/>
  <c r="I39" i="1" l="1"/>
  <c r="K38" i="1"/>
  <c r="I44" i="1"/>
  <c r="J44" i="1" s="1"/>
  <c r="K43" i="1"/>
  <c r="I50" i="1"/>
  <c r="K42" i="1"/>
  <c r="I32" i="1"/>
  <c r="K31" i="1"/>
  <c r="J32" i="1" l="1"/>
  <c r="I26" i="1"/>
  <c r="J50" i="1"/>
  <c r="I51" i="1"/>
  <c r="J51" i="1" s="1"/>
  <c r="I46" i="1"/>
  <c r="J46" i="1" s="1"/>
  <c r="K46" i="1" s="1"/>
  <c r="K44" i="1"/>
  <c r="J39" i="1"/>
  <c r="K51" i="1" l="1"/>
  <c r="I52" i="1"/>
  <c r="J52" i="1" s="1"/>
  <c r="I40" i="1"/>
  <c r="K39" i="1"/>
  <c r="K50" i="1"/>
  <c r="K32" i="1"/>
  <c r="J26" i="1"/>
  <c r="K26" i="1" l="1"/>
  <c r="AM22" i="1" s="1"/>
  <c r="AN22" i="1" s="1"/>
  <c r="K52" i="1"/>
  <c r="I54" i="1"/>
  <c r="I53" i="1"/>
  <c r="J40" i="1"/>
  <c r="I37" i="1"/>
  <c r="AN23" i="1" l="1"/>
  <c r="AM23" i="1"/>
  <c r="J53" i="1"/>
  <c r="K40" i="1"/>
  <c r="J37" i="1"/>
  <c r="J54" i="1"/>
  <c r="I55" i="1" s="1"/>
  <c r="J55" i="1" s="1"/>
  <c r="K37" i="1" l="1"/>
  <c r="I47" i="1"/>
  <c r="J47" i="1" s="1"/>
  <c r="K55" i="1"/>
  <c r="K54" i="1"/>
  <c r="I45" i="1"/>
  <c r="K53" i="1"/>
  <c r="J45" i="1" l="1"/>
  <c r="I48" i="1"/>
  <c r="I41" i="1" s="1"/>
  <c r="K47" i="1"/>
  <c r="I56" i="1" l="1"/>
  <c r="I49" i="1" s="1"/>
  <c r="J48" i="1"/>
  <c r="J41" i="1" s="1"/>
  <c r="K41" i="1" s="1"/>
  <c r="I58" i="1"/>
  <c r="J58" i="1" s="1"/>
  <c r="I59" i="1" s="1"/>
  <c r="J59" i="1" s="1"/>
  <c r="K45" i="1"/>
  <c r="I60" i="1" l="1"/>
  <c r="K59" i="1"/>
  <c r="J56" i="1"/>
  <c r="K48" i="1"/>
  <c r="J60" i="1" l="1"/>
  <c r="K60" i="1" s="1"/>
  <c r="I63" i="1"/>
  <c r="K58" i="1"/>
  <c r="K56" i="1"/>
  <c r="J49" i="1"/>
  <c r="K49" i="1" s="1"/>
  <c r="AN33" i="1" s="1"/>
  <c r="I61" i="1" l="1"/>
  <c r="J61" i="1" s="1"/>
  <c r="K61" i="1" s="1"/>
  <c r="AN35" i="1"/>
  <c r="AM35" i="1" s="1"/>
  <c r="AN34" i="1"/>
  <c r="AM34" i="1"/>
  <c r="AM33" i="1"/>
  <c r="I62" i="1" l="1"/>
  <c r="J62" i="1" s="1"/>
  <c r="J63" i="1" s="1"/>
  <c r="K63" i="1" s="1"/>
  <c r="AN36" i="1"/>
  <c r="AM36" i="1"/>
  <c r="K62" i="1" l="1"/>
  <c r="J57" i="1" l="1"/>
  <c r="I57" i="1"/>
  <c r="I7" i="1" s="1"/>
  <c r="K57" i="1" l="1"/>
  <c r="J7" i="1"/>
  <c r="K7" i="1" l="1"/>
  <c r="AS31" i="1" s="1"/>
  <c r="AU31" i="1" s="1"/>
  <c r="L57" i="1"/>
  <c r="K64" i="1" s="1"/>
  <c r="BG11" i="1" l="1"/>
  <c r="BG10" i="1"/>
  <c r="BG8" i="1"/>
  <c r="AB68" i="1"/>
  <c r="Z68" i="1"/>
  <c r="AD68" i="1"/>
  <c r="AF68" i="1"/>
  <c r="X68" i="1"/>
  <c r="N68" i="1"/>
  <c r="P68" i="1"/>
  <c r="T70" i="1"/>
  <c r="R70" i="1"/>
  <c r="V68" i="1"/>
  <c r="R68" i="1"/>
  <c r="V70" i="1"/>
  <c r="T68" i="1"/>
  <c r="X70" i="1"/>
  <c r="N70" i="1"/>
  <c r="Z70" i="1"/>
  <c r="AB70" i="1"/>
  <c r="AF70" i="1"/>
  <c r="AD70" i="1"/>
  <c r="L7" i="1"/>
  <c r="AV24" i="1" l="1"/>
  <c r="BC9" i="1" s="1"/>
  <c r="AW33" i="1" s="1" a="1"/>
  <c r="AW33" i="1" s="1"/>
  <c r="AW34" i="1" s="1"/>
  <c r="AV23" i="1" l="1"/>
  <c r="AV22" i="1" l="1"/>
  <c r="BC10" i="1" s="1"/>
  <c r="AV21" i="1" l="1"/>
  <c r="AV20" i="1" l="1"/>
  <c r="BC11" i="1" s="1"/>
  <c r="AV19" i="1" l="1"/>
  <c r="AV18" i="1" l="1"/>
  <c r="BC12" i="1" s="1"/>
  <c r="AV17" i="1" l="1"/>
  <c r="AV16" i="1" l="1"/>
  <c r="BC13" i="1" s="1"/>
  <c r="AV15" i="1" l="1"/>
  <c r="AV14" i="1" l="1"/>
  <c r="BC14" i="1" s="1"/>
  <c r="AV13" i="1" l="1"/>
  <c r="AV12" i="1" l="1"/>
  <c r="BC15" i="1" s="1"/>
  <c r="AV11" i="1" l="1"/>
  <c r="AV10" i="1" l="1"/>
  <c r="BC16" i="1" s="1"/>
  <c r="AV8" i="1" l="1"/>
  <c r="BC17" i="1" s="1"/>
  <c r="AV9" i="1"/>
  <c r="AQ24" i="1"/>
  <c r="AV25" i="1"/>
  <c r="P69" i="1" l="1"/>
  <c r="P70" i="1" s="1"/>
  <c r="BG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<sst xmlns="http://schemas.openxmlformats.org/spreadsheetml/2006/main" count="424" uniqueCount="224">
  <si>
    <t>ลำดับงาน</t>
  </si>
  <si>
    <t>รายละเอียดงานก่อสร้าง</t>
  </si>
  <si>
    <t>หน่วย</t>
  </si>
  <si>
    <t>แผนงานก่อสร้างบ้านพักอาศัย ค.ส.ล. 2 ชั้น</t>
  </si>
  <si>
    <t>งานถางป่าขุดตอเคลียริ่งพื้นที่</t>
  </si>
  <si>
    <t>งานถมดินปรับพื้นที่</t>
  </si>
  <si>
    <t>งานตอกเสาเข็มสี่เหลี่มขนาด 22x22 ยาว 10 ม.</t>
  </si>
  <si>
    <t>ขุดเปิดหน้าดิน + ตัดเสาเข็ม</t>
  </si>
  <si>
    <t>งานลงเหล็กเสริมฐานราก</t>
  </si>
  <si>
    <t>งานประกอบแบบหล่อ+เทคอนกรีตฐานราก</t>
  </si>
  <si>
    <t>งานหล่อเสาตอม่อ</t>
  </si>
  <si>
    <t>เทลีน+ ลงเหล็กเสริมคาน ค.ส.ล. รับพื้นชั้น 1</t>
  </si>
  <si>
    <t>งานวางท่อระบบสุขาภิบาล ชั้น 1</t>
  </si>
  <si>
    <t>เงินเดินท่อระบบกำจัดปรวก</t>
  </si>
  <si>
    <t>งานลงเหล็กเสริมเสาชั้น 1 รับพื้นชั้น 2</t>
  </si>
  <si>
    <t>งานประกอบแบบหล่อ+เทคอนกรีตเสาชั้น 1 รับพื้นชั้น 2</t>
  </si>
  <si>
    <t>งานติดตั้งเหล็กเสริมคานชั้น 2</t>
  </si>
  <si>
    <t>งานตั้งนั่งร้านทำท้องแบบหล่อคาน ค.ส.ล. ชั้น  2</t>
  </si>
  <si>
    <t>งานตั้งนั่งร้านท้องพื้น S1&amp;S2 + ลงเหล็กเสริมพื้น</t>
  </si>
  <si>
    <t>งานประกอบแบบหล่อคอนกรีต+เทคอนกรีต คาน  ชั้น 2</t>
  </si>
  <si>
    <t>ประกอบแบบหล่อ + เทคอนกรีต คาน  รับพื้นชั้น 1</t>
  </si>
  <si>
    <t xml:space="preserve">งานวางท่อระบบสุขาภิบาล ชั้น 2 </t>
  </si>
  <si>
    <t>ประกอบแบบหล่อ + เทคอนกรีต</t>
  </si>
  <si>
    <t>งานวางแผ่นพื้นสำเร็จรูป+เทคอนกรีต Topping พื้นชั้น 2</t>
  </si>
  <si>
    <t>งานวางแผ่นพื้นสำเร็จรูป เทคอนกรีต Topping พื้นชั้น 1</t>
  </si>
  <si>
    <t>งานประกอบแบบหล่อ+เทคอนกรีตเสาชั้น 2 รับหลังคา</t>
  </si>
  <si>
    <t>งานติดตั้งโครงหลังคาเหล็ก</t>
  </si>
  <si>
    <t>งานมุงเหล็กแป</t>
  </si>
  <si>
    <t>งานมุงหลังคาเมทัลชีท</t>
  </si>
  <si>
    <t>งาน</t>
  </si>
  <si>
    <t>งานฉาบปูนผนังภายใน</t>
  </si>
  <si>
    <t>งานตั้งวงกบประตู+งานก่อผนังอิฐบล๊อคชั้น 1</t>
  </si>
  <si>
    <t>งานฉาบปูนผนังภายนอก+ติดตั้งบัวปูนปัน</t>
  </si>
  <si>
    <t>งานตั้งวงกบประตู+งานก่อผนังอิฐบล๊อคชั้น 2</t>
  </si>
  <si>
    <t>งานติดตั้งระบบท่อร้อยสายไฟในผนังชั้น 1</t>
  </si>
  <si>
    <t>งานติดตั้งระบบท่อร้อยสายไฟในผนังชั้น 2</t>
  </si>
  <si>
    <t>งานติดตั้งฝ้าภายใน+ทาสีผนังภายใน</t>
  </si>
  <si>
    <t>งานตั้งแบบหล่อคอนกรีต + ลงเหล็กเสริมบันได ST1</t>
  </si>
  <si>
    <t>งานประกอบแบบลูกขั้นบันได+เทคอนกรีตบันได ST1</t>
  </si>
  <si>
    <t>งานปูกระเบื้องพื้น+ผนัง+ติดตั้งสุขภัณฑ์</t>
  </si>
  <si>
    <t>งานติดตั้งบานประตู+หน้าต่าง+อลูมิเนียม ชั้น 1</t>
  </si>
  <si>
    <t>งานติดตั้งฝ้าระแนงรอบนอก</t>
  </si>
  <si>
    <t>งานวางถังบำบัดไฟเบอร์กลาสขนาด 1,000.00ลิตร</t>
  </si>
  <si>
    <t>งานเทคอนกรีตพื้น GS โรงจอดรถ+พื้นรอบตัวบ้าน</t>
  </si>
  <si>
    <t>งานติดตั้งหม้อแปลง+อุปกรณ์ไฟฟ้า</t>
  </si>
  <si>
    <t>ส่งมอบงานแกผู้ว่าจ้าง</t>
  </si>
  <si>
    <t xml:space="preserve">งานเตรียมการและเคลียร์ริ่งพื้นที่ </t>
  </si>
  <si>
    <t>งานโครงสร้างชั้นฐานราก</t>
  </si>
  <si>
    <t>งานโครงสร้างชั้น 1</t>
  </si>
  <si>
    <t>งานโครงสร้างชั้น 2</t>
  </si>
  <si>
    <t>งานโครงสร้างชั้นหลังคา</t>
  </si>
  <si>
    <t>งานสถาปัตยกรรมชั้น 1 + งานระบบไฟฟ้าชั้น 1</t>
  </si>
  <si>
    <t>งานสถาปัตยกรรมชั้น 2 + งานระบบไฟฟ้าชั้น 2</t>
  </si>
  <si>
    <t>งานสถาปัตยกรรมรอบนอกตัวอาคารและงานระบบสุขภิบาล</t>
  </si>
  <si>
    <t>มูลค่างาน</t>
  </si>
  <si>
    <t>ตามสัญญา</t>
  </si>
  <si>
    <t>(THB)</t>
  </si>
  <si>
    <t>วันเริ่มงาน</t>
  </si>
  <si>
    <t>วันสิ้นสุดงาน</t>
  </si>
  <si>
    <t>ระยะเวลา</t>
  </si>
  <si>
    <t>ผูกเหล็ก+ประกอบแบบหล่อ+เทคอนกรีตพื้น S1&amp;S2</t>
  </si>
  <si>
    <t>งานทาสี+เก็บรายละเอียดผนังภายนอก</t>
  </si>
  <si>
    <t>กำหนดการก่อสร้าง(ปี พ.ศ.2567)</t>
  </si>
  <si>
    <t>CONSTRUCTION GANTT-CHART</t>
  </si>
  <si>
    <t>เส้นที่ 1</t>
  </si>
  <si>
    <t>เส้นที่ 2</t>
  </si>
  <si>
    <t>เส้นที่ 3</t>
  </si>
  <si>
    <t>เส้นที่ 4</t>
  </si>
  <si>
    <t>เส้นที่ 5</t>
  </si>
  <si>
    <t>เส้นที่ 6</t>
  </si>
  <si>
    <t>เส้นที่ 7</t>
  </si>
  <si>
    <t>เส้นที่ 8</t>
  </si>
  <si>
    <t>เส้นที่ 9</t>
  </si>
  <si>
    <t>เส้นที่ 10</t>
  </si>
  <si>
    <t>เส้นที่ 11</t>
  </si>
  <si>
    <t>เส้นที่ 12</t>
  </si>
  <si>
    <t>เส้นที่ 13</t>
  </si>
  <si>
    <t>เส้นที่ 14</t>
  </si>
  <si>
    <t>เส้นที่ 15</t>
  </si>
  <si>
    <t>เส้นที่ 16</t>
  </si>
  <si>
    <t>เส้นที่ 17</t>
  </si>
  <si>
    <t>เส้นที่ 18</t>
  </si>
  <si>
    <t>เส้นที่ 19</t>
  </si>
  <si>
    <t>เส้นที่ 20</t>
  </si>
  <si>
    <t>เส้นที่ 21</t>
  </si>
  <si>
    <t>เส้นที่ 22</t>
  </si>
  <si>
    <t>เส้นที่ 23</t>
  </si>
  <si>
    <t>เส้นที่ 24</t>
  </si>
  <si>
    <t>เส้นที่ 25</t>
  </si>
  <si>
    <t>เส้นที่ 26</t>
  </si>
  <si>
    <t>เส้นที่ 27</t>
  </si>
  <si>
    <t>เส้นที่ 28</t>
  </si>
  <si>
    <t>เส้นที่ 29</t>
  </si>
  <si>
    <t>เส้นที่ 30</t>
  </si>
  <si>
    <t>เส้นที่ 31</t>
  </si>
  <si>
    <t>เส้นที่ 32</t>
  </si>
  <si>
    <t>เส้นที่ 33</t>
  </si>
  <si>
    <t>เส้นที่ 34</t>
  </si>
  <si>
    <t>เส้นที่ 35</t>
  </si>
  <si>
    <t>เส้นที่ 36</t>
  </si>
  <si>
    <t>เส้นที่ 37</t>
  </si>
  <si>
    <t>เส้นที่ 38</t>
  </si>
  <si>
    <t>เส้นที่ 39</t>
  </si>
  <si>
    <t>เส้นที่ 40</t>
  </si>
  <si>
    <t>เส้นที่ 41</t>
  </si>
  <si>
    <t>เส้นที่ 42</t>
  </si>
  <si>
    <t>เส้นที่ 43</t>
  </si>
  <si>
    <t>เส้นที่ 44</t>
  </si>
  <si>
    <t>เส้นที่ 45</t>
  </si>
  <si>
    <t>เส้นที่ 46</t>
  </si>
  <si>
    <t>เส้นที่ 47</t>
  </si>
  <si>
    <t>เส้นที่ 48</t>
  </si>
  <si>
    <t>เส้นที่ 49</t>
  </si>
  <si>
    <t>เส้นที่ 50</t>
  </si>
  <si>
    <t>เส้นที่ 51</t>
  </si>
  <si>
    <t>เส้นที่ 52</t>
  </si>
  <si>
    <t>เส้นที่ 53</t>
  </si>
  <si>
    <t>เส้นที่ 54</t>
  </si>
  <si>
    <t>เส้นที่ 55</t>
  </si>
  <si>
    <t>เส้นที่ 56</t>
  </si>
  <si>
    <t>เส้นที่ 57</t>
  </si>
  <si>
    <t>ลงชื่อ.................................................ในนามผู้รับจ้าง</t>
  </si>
  <si>
    <t>........................................................................</t>
  </si>
  <si>
    <t>บริษัท เอ.ดี.ที. บิวดิ้ง จำกัด</t>
  </si>
  <si>
    <t>........................................................</t>
  </si>
  <si>
    <t>ลงชื่อ..................................ในนามผู้ว่าจ้าง</t>
  </si>
  <si>
    <t>ลวท.........................................................</t>
  </si>
  <si>
    <t>ลวท.....................................................................</t>
  </si>
  <si>
    <t>สัญญาก่อสร้างเลขที่ :</t>
  </si>
  <si>
    <r>
      <rPr>
        <b/>
        <sz val="16"/>
        <color theme="1"/>
        <rFont val="TH SarabunPSK"/>
        <family val="2"/>
      </rPr>
      <t>ชื่อโครงการ :</t>
    </r>
    <r>
      <rPr>
        <sz val="16"/>
        <color theme="1"/>
        <rFont val="TH SarabunPSK"/>
        <family val="2"/>
      </rPr>
      <t xml:space="preserve">  </t>
    </r>
    <r>
      <rPr>
        <sz val="16"/>
        <color rgb="FF0000FF"/>
        <rFont val="TH SarabunPSK"/>
        <family val="2"/>
      </rPr>
      <t>บ้านพักอาศัย ค.ส.ล. 2 ชั้น  คุณบุญมี  รวยล้น</t>
    </r>
  </si>
  <si>
    <r>
      <rPr>
        <b/>
        <sz val="16"/>
        <color theme="1"/>
        <rFont val="TH SarabunPSK"/>
        <family val="2"/>
      </rPr>
      <t>สถาณที่ก่อสร้าง :</t>
    </r>
    <r>
      <rPr>
        <sz val="16"/>
        <color theme="1"/>
        <rFont val="TH SarabunPSK"/>
        <family val="2"/>
      </rPr>
      <t xml:space="preserve">  </t>
    </r>
    <r>
      <rPr>
        <sz val="16"/>
        <color rgb="FF0000FF"/>
        <rFont val="TH SarabunPSK"/>
        <family val="2"/>
      </rPr>
      <t>บ้านหนองฮี  ตำบนงนองไฮ อ.หนองปรือ จ.อุดีทานอน</t>
    </r>
  </si>
  <si>
    <t>มูลค่างานตามสัญญา :</t>
  </si>
  <si>
    <t>มีนาคม 2567</t>
  </si>
  <si>
    <t>เมษายน 2567</t>
  </si>
  <si>
    <t>พฤษภาคม 2567</t>
  </si>
  <si>
    <t>มิถุนายน 2567</t>
  </si>
  <si>
    <t>กรกฎาคม 2567</t>
  </si>
  <si>
    <t>เดือนที่มีกิจกรรมงานก่อสร้าง</t>
  </si>
  <si>
    <t>สัปดาห์ที่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</si>
  <si>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</si>
  <si>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</si>
  <si>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</si>
  <si>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</si>
  <si>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</si>
  <si>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</si>
  <si>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</si>
  <si>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</si>
  <si>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</si>
  <si>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</si>
  <si>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%ความก้าวหน้าสะสม</t>
  </si>
  <si>
    <t>%ความก้าวหน้างานตามแผนงาน</t>
  </si>
  <si>
    <t>ข้อมูลแผนงาน ณ วันที่  :</t>
  </si>
  <si>
    <t>จัดทำแผนงานโดย :</t>
  </si>
  <si>
    <t>H</t>
  </si>
  <si>
    <t>V</t>
  </si>
  <si>
    <t>WEEK 1</t>
  </si>
  <si>
    <t>WEEK 2</t>
  </si>
  <si>
    <t>ADT-01/67</t>
  </si>
  <si>
    <t>ปริมาณ</t>
  </si>
  <si>
    <t>ตร.ม.</t>
  </si>
  <si>
    <t>ลบ.ม.</t>
  </si>
  <si>
    <t>ต้น</t>
  </si>
  <si>
    <t>ขุดเปิดหน้าดิน</t>
  </si>
  <si>
    <t>ตัดเสาเข็ม</t>
  </si>
  <si>
    <t>RB6</t>
  </si>
  <si>
    <t>RB9</t>
  </si>
  <si>
    <t>DB12</t>
  </si>
  <si>
    <t>DB16</t>
  </si>
  <si>
    <t>DB20</t>
  </si>
  <si>
    <t>DB25</t>
  </si>
  <si>
    <t>กก.</t>
  </si>
  <si>
    <t>ประกอบแบบหล่อ</t>
  </si>
  <si>
    <t>เทคอนกรีต</t>
  </si>
  <si>
    <t>ราคา/หน่วย</t>
  </si>
  <si>
    <t>จำนวนเงิน</t>
  </si>
  <si>
    <t>บาท/หนวย</t>
  </si>
  <si>
    <t>บาท</t>
  </si>
  <si>
    <t>ค่าวัสดุ</t>
  </si>
  <si>
    <t>ค่าแรง</t>
  </si>
  <si>
    <t>เข้าแบบ</t>
  </si>
  <si>
    <t>งานลีนคอนกรีตคา</t>
  </si>
  <si>
    <t>เท</t>
  </si>
  <si>
    <t>วางแผ่นพื้น</t>
  </si>
  <si>
    <t>ปู Wire Mesh</t>
  </si>
  <si>
    <t>เทปูน Topping</t>
  </si>
  <si>
    <t>กก</t>
  </si>
  <si>
    <t>ม.</t>
  </si>
  <si>
    <t>เหมา</t>
  </si>
  <si>
    <t>งานติดตั้งบานประตู+หน้าต่าง+อลูมิเนียม ชั้น 2</t>
  </si>
  <si>
    <t>มูลค่างานประจำสัปดาห์(แสนบาท)</t>
  </si>
  <si>
    <t>เบิกสะสม(แสนบาท)</t>
  </si>
  <si>
    <t>WEEK 3</t>
  </si>
  <si>
    <t>WEEK 4</t>
  </si>
  <si>
    <t>WEEK 10</t>
  </si>
  <si>
    <t>WEEK 9</t>
  </si>
  <si>
    <t>WEEK 8</t>
  </si>
  <si>
    <t>WEEK 7</t>
  </si>
  <si>
    <t>WEEK 6</t>
  </si>
  <si>
    <t>WEEK 5</t>
  </si>
  <si>
    <t>ประกันผลงาน+ส่งมอบงานแก่ผู้ว่าจ้าง</t>
  </si>
  <si>
    <t>แกน Y</t>
  </si>
  <si>
    <t>แกน X</t>
  </si>
  <si>
    <t>หาร 2</t>
  </si>
  <si>
    <t>%แผนงาน</t>
  </si>
  <si>
    <t>ชุดข้อมูล</t>
  </si>
  <si>
    <t>ตารางข้อมูลพล๊อตเส้น S-CURVE</t>
  </si>
  <si>
    <t>ตารางเส้นความสัมพันธ์ของกิจกรรมงานก่อสร้าง</t>
  </si>
  <si>
    <t>กรอกวันเริ่มแผนงาน</t>
  </si>
  <si>
    <t>วันสิ้นสุดแผนงาน</t>
  </si>
  <si>
    <t>จำนวนวันในแผนงาน</t>
  </si>
  <si>
    <t>X</t>
  </si>
  <si>
    <t>Y</t>
  </si>
  <si>
    <t xml:space="preserve">เลือกช่วงสัปดาห์ที่ต้องการตรวจสอบ </t>
  </si>
  <si>
    <t>%Construction Progress</t>
  </si>
  <si>
    <t xml:space="preserve">วันที่ตัดผลงานประจำ WEEK </t>
  </si>
  <si>
    <t>มูลค่างานตามแผนงานที่ควรได้</t>
  </si>
  <si>
    <t>มูลค่างานที่ควรเบิกสะสมได้</t>
  </si>
  <si>
    <t>DATA1=</t>
  </si>
  <si>
    <t>DATA2=</t>
  </si>
  <si>
    <t>วันที่วัดผลงาน</t>
  </si>
  <si>
    <t>DATA ON CHART</t>
  </si>
  <si>
    <t>กรอกค่าแบ่ง % การเบิกงวด</t>
  </si>
  <si>
    <t>ตรงนี้</t>
  </si>
  <si>
    <t>ใส่ค่าพิกัดเส้นเชื่อมสายงาน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</si>
</sst>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87" formatCode="[$-409]d\-mmm;@"/>
    <numFmt numFmtId="190" formatCode="_-[$฿-41E]* #,##0.00_-;\-[$฿-41E]* #,##0.00_-;_-[$฿-41E]* &quot;-&quot;??_-;_-@_-"/>
    <numFmt numFmtId="192" formatCode="0.000"/>
  </numFmts>
  <fonts count="15" x14ac:knownFonts="1">
    <font>
      <sz val="16"/>
      <color theme="1"/>
      <name val="AngsanaUPC"/>
      <family val="2"/>
    </font>
    <font>
      <sz val="16"/>
      <color theme="1"/>
      <name val="AngsanaUPC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22"/>
      <color theme="1"/>
      <name val="TH SarabunPSK"/>
      <family val="2"/>
    </font>
    <font>
      <b/>
      <sz val="16"/>
      <color rgb="FF0000FF"/>
      <name val="TH SarabunPSK"/>
      <family val="2"/>
    </font>
    <font>
      <sz val="16"/>
      <color rgb="FF0000FF"/>
      <name val="TH SarabunPSK"/>
      <family val="2"/>
    </font>
    <font>
      <b/>
      <sz val="24"/>
      <color theme="1"/>
      <name val="TH SarabunPSK"/>
      <family val="2"/>
    </font>
    <font>
      <sz val="8"/>
      <name val="AngsanaUPC"/>
      <family val="2"/>
    </font>
    <font>
      <i/>
      <sz val="16"/>
      <color theme="1"/>
      <name val="TH SarabunPSK"/>
      <family val="2"/>
    </font>
    <font>
      <b/>
      <i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8"/>
      <color theme="0"/>
      <name val="TH SarabunPSK"/>
      <family val="2"/>
    </font>
    <font>
      <b/>
      <sz val="18"/>
      <color theme="1"/>
      <name val="TH SarabunPSK"/>
      <family val="2"/>
    </font>
    <font>
      <b/>
      <sz val="20"/>
      <color theme="1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2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8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6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2" fillId="2" borderId="3" xfId="0" applyFont="1" applyFill="1" applyBorder="1"/>
    <xf numFmtId="0" fontId="2" fillId="2" borderId="5" xfId="0" applyFont="1" applyFill="1" applyBorder="1"/>
    <xf numFmtId="0" fontId="2" fillId="2" borderId="3" xfId="0" applyFont="1" applyFill="1" applyBorder="1" applyAlignment="1">
      <alignment horizontal="right"/>
    </xf>
    <xf numFmtId="43" fontId="2" fillId="0" borderId="0" xfId="1" applyFont="1" applyAlignment="1">
      <alignment horizontal="center"/>
    </xf>
    <xf numFmtId="190" fontId="2" fillId="0" borderId="0" xfId="0" applyNumberFormat="1" applyFont="1" applyAlignment="1">
      <alignment horizontal="center"/>
    </xf>
    <xf numFmtId="190" fontId="2" fillId="0" borderId="0" xfId="0" applyNumberFormat="1" applyFont="1"/>
    <xf numFmtId="0" fontId="9" fillId="2" borderId="3" xfId="0" applyFont="1" applyFill="1" applyBorder="1"/>
    <xf numFmtId="0" fontId="9" fillId="2" borderId="0" xfId="0" applyFont="1" applyFill="1"/>
    <xf numFmtId="0" fontId="9" fillId="2" borderId="8" xfId="0" applyFont="1" applyFill="1" applyBorder="1"/>
    <xf numFmtId="0" fontId="9" fillId="0" borderId="0" xfId="0" applyFont="1" applyAlignment="1">
      <alignment horizontal="center"/>
    </xf>
    <xf numFmtId="0" fontId="9" fillId="0" borderId="0" xfId="0" applyFont="1"/>
    <xf numFmtId="190" fontId="9" fillId="0" borderId="0" xfId="0" applyNumberFormat="1" applyFont="1" applyAlignment="1">
      <alignment horizontal="center"/>
    </xf>
    <xf numFmtId="190" fontId="9" fillId="0" borderId="0" xfId="0" applyNumberFormat="1" applyFont="1"/>
    <xf numFmtId="0" fontId="3" fillId="2" borderId="3" xfId="0" applyFont="1" applyFill="1" applyBorder="1"/>
    <xf numFmtId="0" fontId="3" fillId="2" borderId="0" xfId="0" applyFont="1" applyFill="1"/>
    <xf numFmtId="0" fontId="3" fillId="2" borderId="8" xfId="0" applyFont="1" applyFill="1" applyBorder="1"/>
    <xf numFmtId="190" fontId="3" fillId="0" borderId="0" xfId="0" applyNumberFormat="1" applyFont="1" applyAlignment="1">
      <alignment horizontal="center"/>
    </xf>
    <xf numFmtId="190" fontId="3" fillId="0" borderId="0" xfId="0" applyNumberFormat="1" applyFont="1"/>
    <xf numFmtId="0" fontId="3" fillId="2" borderId="5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2" fillId="0" borderId="0" xfId="0" applyFont="1" applyAlignment="1">
      <alignment horizontal="center" vertical="center"/>
    </xf>
    <xf numFmtId="0" fontId="5" fillId="2" borderId="7" xfId="0" applyFont="1" applyFill="1" applyBorder="1"/>
    <xf numFmtId="0" fontId="5" fillId="0" borderId="0" xfId="0" applyFont="1" applyAlignment="1">
      <alignment horizontal="center"/>
    </xf>
    <xf numFmtId="190" fontId="5" fillId="0" borderId="0" xfId="0" applyNumberFormat="1" applyFont="1" applyAlignment="1">
      <alignment horizontal="center"/>
    </xf>
    <xf numFmtId="0" fontId="5" fillId="0" borderId="0" xfId="0" applyFont="1"/>
    <xf numFmtId="0" fontId="5" fillId="0" borderId="11" xfId="0" applyFont="1" applyBorder="1" applyAlignment="1">
      <alignment horizontal="center"/>
    </xf>
    <xf numFmtId="190" fontId="5" fillId="0" borderId="6" xfId="0" applyNumberFormat="1" applyFont="1" applyBorder="1" applyAlignment="1">
      <alignment horizontal="center"/>
    </xf>
    <xf numFmtId="190" fontId="5" fillId="0" borderId="7" xfId="0" applyNumberFormat="1" applyFont="1" applyBorder="1" applyAlignment="1">
      <alignment horizontal="center"/>
    </xf>
    <xf numFmtId="190" fontId="3" fillId="0" borderId="8" xfId="0" applyNumberFormat="1" applyFont="1" applyBorder="1"/>
    <xf numFmtId="0" fontId="3" fillId="0" borderId="9" xfId="0" applyFont="1" applyBorder="1" applyAlignment="1">
      <alignment horizontal="center"/>
    </xf>
    <xf numFmtId="190" fontId="3" fillId="0" borderId="9" xfId="0" applyNumberFormat="1" applyFont="1" applyBorder="1" applyAlignment="1">
      <alignment horizontal="center"/>
    </xf>
    <xf numFmtId="190" fontId="3" fillId="0" borderId="10" xfId="0" applyNumberFormat="1" applyFont="1" applyBorder="1"/>
    <xf numFmtId="190" fontId="3" fillId="0" borderId="8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190" fontId="9" fillId="0" borderId="8" xfId="0" applyNumberFormat="1" applyFont="1" applyBorder="1"/>
    <xf numFmtId="190" fontId="2" fillId="0" borderId="8" xfId="0" applyNumberFormat="1" applyFont="1" applyBorder="1"/>
    <xf numFmtId="0" fontId="5" fillId="2" borderId="3" xfId="0" applyFont="1" applyFill="1" applyBorder="1" applyAlignment="1">
      <alignment horizontal="center"/>
    </xf>
    <xf numFmtId="0" fontId="5" fillId="2" borderId="0" xfId="0" applyFont="1" applyFill="1"/>
    <xf numFmtId="43" fontId="2" fillId="0" borderId="0" xfId="1" applyFont="1" applyAlignment="1">
      <alignment horizontal="center" vertical="center"/>
    </xf>
    <xf numFmtId="43" fontId="5" fillId="0" borderId="6" xfId="1" applyFont="1" applyBorder="1" applyAlignment="1">
      <alignment horizontal="center"/>
    </xf>
    <xf numFmtId="43" fontId="3" fillId="0" borderId="0" xfId="1" applyFont="1" applyBorder="1" applyAlignment="1">
      <alignment horizontal="center"/>
    </xf>
    <xf numFmtId="43" fontId="3" fillId="0" borderId="9" xfId="1" applyFont="1" applyBorder="1" applyAlignment="1">
      <alignment horizontal="center"/>
    </xf>
    <xf numFmtId="43" fontId="9" fillId="0" borderId="0" xfId="1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43" fontId="3" fillId="0" borderId="0" xfId="1" applyFont="1" applyAlignment="1">
      <alignment horizontal="center"/>
    </xf>
    <xf numFmtId="190" fontId="10" fillId="0" borderId="0" xfId="0" applyNumberFormat="1" applyFont="1"/>
    <xf numFmtId="190" fontId="10" fillId="0" borderId="0" xfId="0" applyNumberFormat="1" applyFont="1" applyAlignment="1">
      <alignment horizontal="center"/>
    </xf>
    <xf numFmtId="190" fontId="10" fillId="0" borderId="8" xfId="0" applyNumberFormat="1" applyFont="1" applyBorder="1"/>
    <xf numFmtId="43" fontId="9" fillId="0" borderId="0" xfId="1" applyFont="1" applyAlignment="1">
      <alignment horizontal="center"/>
    </xf>
    <xf numFmtId="0" fontId="5" fillId="2" borderId="8" xfId="0" applyFont="1" applyFill="1" applyBorder="1"/>
    <xf numFmtId="43" fontId="5" fillId="0" borderId="0" xfId="1" applyFont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90" fontId="5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10" fontId="2" fillId="2" borderId="1" xfId="2" applyNumberFormat="1" applyFont="1" applyFill="1" applyBorder="1" applyAlignment="1">
      <alignment horizontal="center" vertical="center"/>
    </xf>
    <xf numFmtId="190" fontId="2" fillId="2" borderId="1" xfId="0" applyNumberFormat="1" applyFont="1" applyFill="1" applyBorder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187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2" fillId="2" borderId="9" xfId="0" applyFont="1" applyFill="1" applyBorder="1" applyAlignment="1">
      <alignment vertical="center"/>
    </xf>
    <xf numFmtId="4" fontId="3" fillId="2" borderId="9" xfId="0" applyNumberFormat="1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87" fontId="2" fillId="0" borderId="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187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90" fontId="11" fillId="2" borderId="4" xfId="0" applyNumberFormat="1" applyFont="1" applyFill="1" applyBorder="1" applyAlignment="1">
      <alignment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4" fontId="5" fillId="6" borderId="11" xfId="0" applyNumberFormat="1" applyFont="1" applyFill="1" applyBorder="1" applyAlignment="1">
      <alignment vertical="center"/>
    </xf>
    <xf numFmtId="4" fontId="5" fillId="6" borderId="7" xfId="0" applyNumberFormat="1" applyFont="1" applyFill="1" applyBorder="1" applyAlignment="1">
      <alignment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187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90" fontId="6" fillId="2" borderId="4" xfId="0" applyNumberFormat="1" applyFont="1" applyFill="1" applyBorder="1" applyAlignment="1">
      <alignment vertical="center"/>
    </xf>
    <xf numFmtId="4" fontId="5" fillId="6" borderId="12" xfId="0" applyNumberFormat="1" applyFont="1" applyFill="1" applyBorder="1" applyAlignment="1">
      <alignment vertical="center"/>
    </xf>
    <xf numFmtId="4" fontId="5" fillId="6" borderId="8" xfId="0" applyNumberFormat="1" applyFont="1" applyFill="1" applyBorder="1" applyAlignment="1">
      <alignment vertical="center"/>
    </xf>
    <xf numFmtId="10" fontId="2" fillId="4" borderId="0" xfId="2" applyNumberFormat="1" applyFont="1" applyFill="1" applyBorder="1" applyAlignment="1">
      <alignment horizontal="center" vertical="center"/>
    </xf>
    <xf numFmtId="10" fontId="5" fillId="4" borderId="0" xfId="2" applyNumberFormat="1" applyFont="1" applyFill="1" applyBorder="1" applyAlignment="1">
      <alignment vertical="center"/>
    </xf>
    <xf numFmtId="10" fontId="2" fillId="4" borderId="0" xfId="2" applyNumberFormat="1" applyFont="1" applyFill="1" applyBorder="1" applyAlignment="1">
      <alignment vertical="center"/>
    </xf>
    <xf numFmtId="2" fontId="2" fillId="4" borderId="0" xfId="0" applyNumberFormat="1" applyFont="1" applyFill="1" applyBorder="1" applyAlignment="1">
      <alignment vertical="center"/>
    </xf>
    <xf numFmtId="2" fontId="2" fillId="4" borderId="0" xfId="0" applyNumberFormat="1" applyFont="1" applyFill="1" applyBorder="1" applyAlignment="1">
      <alignment horizontal="center" vertical="center"/>
    </xf>
    <xf numFmtId="2" fontId="2" fillId="4" borderId="8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190" fontId="2" fillId="2" borderId="4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10" fontId="5" fillId="4" borderId="9" xfId="2" applyNumberFormat="1" applyFont="1" applyFill="1" applyBorder="1" applyAlignment="1">
      <alignment vertical="center"/>
    </xf>
    <xf numFmtId="10" fontId="2" fillId="4" borderId="9" xfId="2" applyNumberFormat="1" applyFont="1" applyFill="1" applyBorder="1" applyAlignment="1">
      <alignment vertical="center"/>
    </xf>
    <xf numFmtId="2" fontId="2" fillId="4" borderId="10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" fontId="5" fillId="6" borderId="0" xfId="0" applyNumberFormat="1" applyFont="1" applyFill="1" applyBorder="1" applyAlignment="1">
      <alignment vertical="center"/>
    </xf>
    <xf numFmtId="0" fontId="13" fillId="10" borderId="11" xfId="0" applyFont="1" applyFill="1" applyBorder="1" applyAlignment="1">
      <alignment horizontal="center" vertical="center"/>
    </xf>
    <xf numFmtId="0" fontId="13" fillId="10" borderId="6" xfId="0" applyFont="1" applyFill="1" applyBorder="1" applyAlignment="1">
      <alignment horizontal="center" vertical="center"/>
    </xf>
    <xf numFmtId="0" fontId="13" fillId="10" borderId="7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right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4" fontId="5" fillId="6" borderId="13" xfId="0" applyNumberFormat="1" applyFont="1" applyFill="1" applyBorder="1" applyAlignment="1">
      <alignment vertical="center"/>
    </xf>
    <xf numFmtId="4" fontId="5" fillId="6" borderId="10" xfId="0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90" fontId="2" fillId="2" borderId="14" xfId="0" applyNumberFormat="1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43" fontId="2" fillId="2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192" fontId="2" fillId="0" borderId="0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0" fontId="2" fillId="4" borderId="0" xfId="0" applyNumberFormat="1" applyFon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0" fontId="2" fillId="10" borderId="12" xfId="0" applyFont="1" applyFill="1" applyBorder="1" applyAlignment="1">
      <alignment vertical="center"/>
    </xf>
    <xf numFmtId="0" fontId="2" fillId="10" borderId="0" xfId="0" applyFont="1" applyFill="1" applyBorder="1" applyAlignment="1">
      <alignment vertical="center"/>
    </xf>
    <xf numFmtId="187" fontId="5" fillId="2" borderId="11" xfId="0" applyNumberFormat="1" applyFont="1" applyFill="1" applyBorder="1" applyAlignment="1">
      <alignment horizontal="center" vertical="center"/>
    </xf>
    <xf numFmtId="187" fontId="5" fillId="2" borderId="6" xfId="0" applyNumberFormat="1" applyFont="1" applyFill="1" applyBorder="1" applyAlignment="1">
      <alignment horizontal="center" vertical="center"/>
    </xf>
    <xf numFmtId="187" fontId="5" fillId="2" borderId="7" xfId="0" applyNumberFormat="1" applyFont="1" applyFill="1" applyBorder="1" applyAlignment="1">
      <alignment horizontal="center" vertical="center"/>
    </xf>
    <xf numFmtId="187" fontId="3" fillId="0" borderId="2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3" fillId="10" borderId="12" xfId="0" applyFont="1" applyFill="1" applyBorder="1" applyAlignment="1">
      <alignment horizontal="center" vertical="center"/>
    </xf>
    <xf numFmtId="0" fontId="13" fillId="10" borderId="0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187" fontId="5" fillId="10" borderId="4" xfId="0" applyNumberFormat="1" applyFont="1" applyFill="1" applyBorder="1" applyAlignment="1">
      <alignment horizontal="center" vertical="center"/>
    </xf>
    <xf numFmtId="187" fontId="5" fillId="10" borderId="14" xfId="0" applyNumberFormat="1" applyFont="1" applyFill="1" applyBorder="1" applyAlignment="1">
      <alignment horizontal="center" vertical="center"/>
    </xf>
    <xf numFmtId="187" fontId="5" fillId="10" borderId="15" xfId="0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10" borderId="14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11" borderId="1" xfId="0" applyFont="1" applyFill="1" applyBorder="1" applyAlignment="1">
      <alignment horizontal="center" vertical="center"/>
    </xf>
    <xf numFmtId="187" fontId="2" fillId="4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vertical="center"/>
    </xf>
    <xf numFmtId="187" fontId="5" fillId="4" borderId="1" xfId="0" applyNumberFormat="1" applyFont="1" applyFill="1" applyBorder="1" applyAlignment="1">
      <alignment horizontal="center" vertical="center"/>
    </xf>
    <xf numFmtId="190" fontId="2" fillId="4" borderId="1" xfId="0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00FF"/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แผนงานก่อสร้าง!$I$6</c:f>
              <c:strCache>
                <c:ptCount val="1"/>
                <c:pt idx="0">
                  <c:v>วันเริ่มงาน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แผนงานก่อสร้าง!$I$7:$I$63</c:f>
              <c:numCache>
                <c:formatCode>[$-409]d\-mmm;@</c:formatCode>
                <c:ptCount val="57"/>
                <c:pt idx="0">
                  <c:v>243678</c:v>
                </c:pt>
                <c:pt idx="1">
                  <c:v>243678</c:v>
                </c:pt>
                <c:pt idx="2">
                  <c:v>243678</c:v>
                </c:pt>
                <c:pt idx="3">
                  <c:v>243680</c:v>
                </c:pt>
                <c:pt idx="4">
                  <c:v>243685</c:v>
                </c:pt>
                <c:pt idx="5">
                  <c:v>243685</c:v>
                </c:pt>
                <c:pt idx="6">
                  <c:v>243692</c:v>
                </c:pt>
                <c:pt idx="7">
                  <c:v>243692</c:v>
                </c:pt>
                <c:pt idx="8">
                  <c:v>243696</c:v>
                </c:pt>
                <c:pt idx="9">
                  <c:v>243697</c:v>
                </c:pt>
                <c:pt idx="10">
                  <c:v>243708</c:v>
                </c:pt>
                <c:pt idx="11">
                  <c:v>243708</c:v>
                </c:pt>
                <c:pt idx="12">
                  <c:v>243711</c:v>
                </c:pt>
                <c:pt idx="13">
                  <c:v>243713</c:v>
                </c:pt>
                <c:pt idx="14">
                  <c:v>243716</c:v>
                </c:pt>
                <c:pt idx="15">
                  <c:v>243717</c:v>
                </c:pt>
                <c:pt idx="16">
                  <c:v>243721</c:v>
                </c:pt>
                <c:pt idx="17">
                  <c:v>243725</c:v>
                </c:pt>
                <c:pt idx="18">
                  <c:v>243727</c:v>
                </c:pt>
                <c:pt idx="19">
                  <c:v>243734</c:v>
                </c:pt>
                <c:pt idx="20">
                  <c:v>243734</c:v>
                </c:pt>
                <c:pt idx="21">
                  <c:v>243736</c:v>
                </c:pt>
                <c:pt idx="22">
                  <c:v>243743</c:v>
                </c:pt>
                <c:pt idx="23">
                  <c:v>243747</c:v>
                </c:pt>
                <c:pt idx="24">
                  <c:v>243749</c:v>
                </c:pt>
                <c:pt idx="25">
                  <c:v>243750</c:v>
                </c:pt>
                <c:pt idx="26">
                  <c:v>243753</c:v>
                </c:pt>
                <c:pt idx="27">
                  <c:v>243758</c:v>
                </c:pt>
                <c:pt idx="28">
                  <c:v>243760</c:v>
                </c:pt>
                <c:pt idx="29">
                  <c:v>243763</c:v>
                </c:pt>
                <c:pt idx="30">
                  <c:v>243766</c:v>
                </c:pt>
                <c:pt idx="31">
                  <c:v>243766</c:v>
                </c:pt>
                <c:pt idx="32">
                  <c:v>243770</c:v>
                </c:pt>
                <c:pt idx="33">
                  <c:v>243773</c:v>
                </c:pt>
                <c:pt idx="34">
                  <c:v>243767</c:v>
                </c:pt>
                <c:pt idx="35">
                  <c:v>243767</c:v>
                </c:pt>
                <c:pt idx="36">
                  <c:v>243769</c:v>
                </c:pt>
                <c:pt idx="37">
                  <c:v>243773</c:v>
                </c:pt>
                <c:pt idx="38">
                  <c:v>243791</c:v>
                </c:pt>
                <c:pt idx="39">
                  <c:v>243777</c:v>
                </c:pt>
                <c:pt idx="40">
                  <c:v>243793</c:v>
                </c:pt>
                <c:pt idx="41">
                  <c:v>243800</c:v>
                </c:pt>
                <c:pt idx="42">
                  <c:v>243774</c:v>
                </c:pt>
                <c:pt idx="43">
                  <c:v>243774</c:v>
                </c:pt>
                <c:pt idx="44">
                  <c:v>243776</c:v>
                </c:pt>
                <c:pt idx="45">
                  <c:v>243780</c:v>
                </c:pt>
                <c:pt idx="46">
                  <c:v>243784</c:v>
                </c:pt>
                <c:pt idx="47">
                  <c:v>243786</c:v>
                </c:pt>
                <c:pt idx="48">
                  <c:v>243788</c:v>
                </c:pt>
                <c:pt idx="49">
                  <c:v>243800</c:v>
                </c:pt>
                <c:pt idx="50">
                  <c:v>243800</c:v>
                </c:pt>
                <c:pt idx="51">
                  <c:v>243800</c:v>
                </c:pt>
                <c:pt idx="52">
                  <c:v>243804</c:v>
                </c:pt>
                <c:pt idx="53">
                  <c:v>243807</c:v>
                </c:pt>
                <c:pt idx="54">
                  <c:v>243813</c:v>
                </c:pt>
                <c:pt idx="55">
                  <c:v>243818</c:v>
                </c:pt>
                <c:pt idx="56">
                  <c:v>243807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84-44B8-82D3-0EBF58D4C4A3}"/>
            </c:ext>
          </c:extLst>
        </c:ser>
        <c:ser>
          <c:idx val="1"/>
          <c:order val="1"/>
          <c:tx>
            <c:strRef>
              <c:f>แผนงานก่อสร้าง!$J$6</c:f>
              <c:strCache>
                <c:ptCount val="1"/>
                <c:pt idx="0">
                  <c:v>วันสิ้นสุดงาน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F84-44B8-82D3-0EBF58D4C4A3}"/>
              </c:ext>
            </c:extLst>
          </c:dPt>
          <c:dPt>
            <c:idx val="1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F84-44B8-82D3-0EBF58D4C4A3}"/>
              </c:ext>
            </c:extLst>
          </c:dPt>
          <c:dPt>
            <c:idx val="4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F84-44B8-82D3-0EBF58D4C4A3}"/>
              </c:ext>
            </c:extLst>
          </c:dPt>
          <c:dPt>
            <c:idx val="10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CF84-44B8-82D3-0EBF58D4C4A3}"/>
              </c:ext>
            </c:extLst>
          </c:dPt>
          <c:dPt>
            <c:idx val="19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F84-44B8-82D3-0EBF58D4C4A3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CF84-44B8-82D3-0EBF58D4C4A3}"/>
              </c:ext>
            </c:extLst>
          </c:dPt>
          <c:dPt>
            <c:idx val="30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F84-44B8-82D3-0EBF58D4C4A3}"/>
              </c:ext>
            </c:extLst>
          </c:dPt>
          <c:dPt>
            <c:idx val="34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F84-44B8-82D3-0EBF58D4C4A3}"/>
              </c:ext>
            </c:extLst>
          </c:dPt>
          <c:dPt>
            <c:idx val="42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CF84-44B8-82D3-0EBF58D4C4A3}"/>
              </c:ext>
            </c:extLst>
          </c:dPt>
          <c:dPt>
            <c:idx val="50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F84-44B8-82D3-0EBF58D4C4A3}"/>
              </c:ext>
            </c:extLst>
          </c:dPt>
          <c:val>
            <c:numRef>
              <c:f>แผนงานก่อสร้าง!$K$7:$K$63</c:f>
              <c:numCache>
                <c:formatCode>General</c:formatCode>
                <c:ptCount val="57"/>
                <c:pt idx="0">
                  <c:v>150</c:v>
                </c:pt>
                <c:pt idx="1">
                  <c:v>7</c:v>
                </c:pt>
                <c:pt idx="2">
                  <c:v>2</c:v>
                </c:pt>
                <c:pt idx="3">
                  <c:v>5</c:v>
                </c:pt>
                <c:pt idx="4">
                  <c:v>23</c:v>
                </c:pt>
                <c:pt idx="5">
                  <c:v>7</c:v>
                </c:pt>
                <c:pt idx="6">
                  <c:v>7</c:v>
                </c:pt>
                <c:pt idx="7">
                  <c:v>10</c:v>
                </c:pt>
                <c:pt idx="8">
                  <c:v>10</c:v>
                </c:pt>
                <c:pt idx="9">
                  <c:v>11</c:v>
                </c:pt>
                <c:pt idx="10">
                  <c:v>26</c:v>
                </c:pt>
                <c:pt idx="11">
                  <c:v>5</c:v>
                </c:pt>
                <c:pt idx="12">
                  <c:v>2</c:v>
                </c:pt>
                <c:pt idx="13">
                  <c:v>3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7</c:v>
                </c:pt>
                <c:pt idx="19">
                  <c:v>33</c:v>
                </c:pt>
                <c:pt idx="20">
                  <c:v>2</c:v>
                </c:pt>
                <c:pt idx="21">
                  <c:v>7</c:v>
                </c:pt>
                <c:pt idx="22">
                  <c:v>4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5</c:v>
                </c:pt>
                <c:pt idx="27">
                  <c:v>7</c:v>
                </c:pt>
                <c:pt idx="28">
                  <c:v>3</c:v>
                </c:pt>
                <c:pt idx="29">
                  <c:v>4</c:v>
                </c:pt>
                <c:pt idx="30">
                  <c:v>9</c:v>
                </c:pt>
                <c:pt idx="31">
                  <c:v>4</c:v>
                </c:pt>
                <c:pt idx="32">
                  <c:v>3</c:v>
                </c:pt>
                <c:pt idx="33">
                  <c:v>2</c:v>
                </c:pt>
                <c:pt idx="34">
                  <c:v>38</c:v>
                </c:pt>
                <c:pt idx="35">
                  <c:v>6</c:v>
                </c:pt>
                <c:pt idx="36">
                  <c:v>4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7</c:v>
                </c:pt>
                <c:pt idx="41">
                  <c:v>5</c:v>
                </c:pt>
                <c:pt idx="42">
                  <c:v>31</c:v>
                </c:pt>
                <c:pt idx="43">
                  <c:v>6</c:v>
                </c:pt>
                <c:pt idx="44">
                  <c:v>4</c:v>
                </c:pt>
                <c:pt idx="45">
                  <c:v>4</c:v>
                </c:pt>
                <c:pt idx="46">
                  <c:v>7</c:v>
                </c:pt>
                <c:pt idx="47">
                  <c:v>2</c:v>
                </c:pt>
                <c:pt idx="48">
                  <c:v>5</c:v>
                </c:pt>
                <c:pt idx="49">
                  <c:v>5</c:v>
                </c:pt>
                <c:pt idx="50">
                  <c:v>28</c:v>
                </c:pt>
                <c:pt idx="51">
                  <c:v>4</c:v>
                </c:pt>
                <c:pt idx="52">
                  <c:v>3</c:v>
                </c:pt>
                <c:pt idx="53">
                  <c:v>7</c:v>
                </c:pt>
                <c:pt idx="54">
                  <c:v>5</c:v>
                </c:pt>
                <c:pt idx="55">
                  <c:v>4</c:v>
                </c:pt>
                <c:pt idx="5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84-44B8-82D3-0EBF58D4C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60427919"/>
        <c:axId val="1610960287"/>
      </c:barChart>
      <c:scatterChart>
        <c:scatterStyle val="smoothMarker"/>
        <c:varyColors val="0"/>
        <c:ser>
          <c:idx val="2"/>
          <c:order val="2"/>
          <c:tx>
            <c:strRef>
              <c:f>แผนงานก่อสร้าง!$AI$7</c:f>
              <c:strCache>
                <c:ptCount val="1"/>
                <c:pt idx="0">
                  <c:v>เส้นที่ 1</c:v>
                </c:pt>
              </c:strCache>
            </c:strRef>
          </c:tx>
          <c:spPr>
            <a:ln w="1270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แผนงานก่อสร้าง!$AM$7:$AN$7</c:f>
              <c:numCache>
                <c:formatCode>#,##0.00</c:formatCode>
                <c:ptCount val="2"/>
                <c:pt idx="0">
                  <c:v>0</c:v>
                </c:pt>
                <c:pt idx="1">
                  <c:v>12</c:v>
                </c:pt>
              </c:numCache>
            </c:numRef>
          </c:xVal>
          <c:yVal>
            <c:numRef>
              <c:f>แผนงานก่อสร้าง!$AK$7:$AL$7</c:f>
              <c:numCache>
                <c:formatCode>#,##0.00</c:formatCode>
                <c:ptCount val="2"/>
                <c:pt idx="0">
                  <c:v>55.5</c:v>
                </c:pt>
                <c:pt idx="1">
                  <c:v>55.5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F84-44B8-82D3-0EBF58D4C4A3}"/>
            </c:ext>
          </c:extLst>
        </c:ser>
        <c:ser>
          <c:idx val="3"/>
          <c:order val="3"/>
          <c:tx>
            <c:strRef>
              <c:f>แผนงานก่อสร้าง!$AI$8</c:f>
              <c:strCache>
                <c:ptCount val="1"/>
                <c:pt idx="0">
                  <c:v>เส้นที่ 2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แผนงานก่อสร้าง!$AM$8:$AN$8</c:f>
              <c:numCache>
                <c:formatCode>#,##0.00</c:formatCode>
                <c:ptCount val="2"/>
                <c:pt idx="0">
                  <c:v>12</c:v>
                </c:pt>
                <c:pt idx="1">
                  <c:v>12</c:v>
                </c:pt>
              </c:numCache>
            </c:numRef>
          </c:xVal>
          <c:yVal>
            <c:numRef>
              <c:f>แผนงานก่อสร้าง!$AK$8:$AL$8</c:f>
              <c:numCache>
                <c:formatCode>#,##0.00</c:formatCode>
                <c:ptCount val="2"/>
                <c:pt idx="0">
                  <c:v>54.5</c:v>
                </c:pt>
                <c:pt idx="1">
                  <c:v>55.5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CF84-44B8-82D3-0EBF58D4C4A3}"/>
            </c:ext>
          </c:extLst>
        </c:ser>
        <c:ser>
          <c:idx val="4"/>
          <c:order val="4"/>
          <c:tx>
            <c:strRef>
              <c:f>แผนงานก่อสร้าง!$K$69</c:f>
              <c:strCache>
                <c:ptCount val="1"/>
                <c:pt idx="0">
                  <c:v>%ความก้าวหน้าสะสม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แผนงานก่อสร้าง!$AW$8:$AW$28</c:f>
              <c:numCache>
                <c:formatCode>0.00</c:formatCode>
                <c:ptCount val="21"/>
                <c:pt idx="0">
                  <c:v>150</c:v>
                </c:pt>
                <c:pt idx="1">
                  <c:v>142.5</c:v>
                </c:pt>
                <c:pt idx="2">
                  <c:v>135</c:v>
                </c:pt>
                <c:pt idx="3">
                  <c:v>127.5</c:v>
                </c:pt>
                <c:pt idx="4">
                  <c:v>120</c:v>
                </c:pt>
                <c:pt idx="5">
                  <c:v>112.5</c:v>
                </c:pt>
                <c:pt idx="6">
                  <c:v>105</c:v>
                </c:pt>
                <c:pt idx="7">
                  <c:v>97.5</c:v>
                </c:pt>
                <c:pt idx="8">
                  <c:v>90</c:v>
                </c:pt>
                <c:pt idx="9">
                  <c:v>82.5</c:v>
                </c:pt>
                <c:pt idx="10">
                  <c:v>75</c:v>
                </c:pt>
                <c:pt idx="11">
                  <c:v>67.5</c:v>
                </c:pt>
                <c:pt idx="12">
                  <c:v>60</c:v>
                </c:pt>
                <c:pt idx="13">
                  <c:v>52.5</c:v>
                </c:pt>
                <c:pt idx="14">
                  <c:v>45</c:v>
                </c:pt>
                <c:pt idx="15">
                  <c:v>37.5</c:v>
                </c:pt>
                <c:pt idx="16">
                  <c:v>30</c:v>
                </c:pt>
                <c:pt idx="17">
                  <c:v>22.5</c:v>
                </c:pt>
                <c:pt idx="18">
                  <c:v>15</c:v>
                </c:pt>
                <c:pt idx="19">
                  <c:v>7.5</c:v>
                </c:pt>
                <c:pt idx="20">
                  <c:v>0</c:v>
                </c:pt>
              </c:numCache>
            </c:numRef>
          </c:xVal>
          <c:yVal>
            <c:numRef>
              <c:f>แผนงานก่อสร้าง!$AV$8:$AV$28</c:f>
              <c:numCache>
                <c:formatCode>0.00</c:formatCode>
                <c:ptCount val="21"/>
                <c:pt idx="0">
                  <c:v>56</c:v>
                </c:pt>
                <c:pt idx="1">
                  <c:v>55.938400000000001</c:v>
                </c:pt>
                <c:pt idx="2">
                  <c:v>55.736799999999995</c:v>
                </c:pt>
                <c:pt idx="3">
                  <c:v>55.552</c:v>
                </c:pt>
                <c:pt idx="4">
                  <c:v>55.378399999999999</c:v>
                </c:pt>
                <c:pt idx="5">
                  <c:v>55.283200000000001</c:v>
                </c:pt>
                <c:pt idx="6">
                  <c:v>55.16</c:v>
                </c:pt>
                <c:pt idx="7">
                  <c:v>54.711999999999996</c:v>
                </c:pt>
                <c:pt idx="8">
                  <c:v>53.199999999999996</c:v>
                </c:pt>
                <c:pt idx="9">
                  <c:v>49.84</c:v>
                </c:pt>
                <c:pt idx="10">
                  <c:v>42</c:v>
                </c:pt>
                <c:pt idx="11">
                  <c:v>36.96</c:v>
                </c:pt>
                <c:pt idx="12">
                  <c:v>29.12</c:v>
                </c:pt>
                <c:pt idx="13">
                  <c:v>19.599999999999998</c:v>
                </c:pt>
                <c:pt idx="14">
                  <c:v>12.32</c:v>
                </c:pt>
                <c:pt idx="15">
                  <c:v>6.944</c:v>
                </c:pt>
                <c:pt idx="16">
                  <c:v>3.1080000000000001</c:v>
                </c:pt>
                <c:pt idx="17">
                  <c:v>0.70000000000000007</c:v>
                </c:pt>
                <c:pt idx="18">
                  <c:v>0.42</c:v>
                </c:pt>
                <c:pt idx="19">
                  <c:v>0.252</c:v>
                </c:pt>
                <c:pt idx="20" formatCode="General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CF84-44B8-82D3-0EBF58D4C4A3}"/>
            </c:ext>
          </c:extLst>
        </c:ser>
        <c:ser>
          <c:idx val="5"/>
          <c:order val="5"/>
          <c:tx>
            <c:strRef>
              <c:f>แผนงานก่อสร้าง!$AI$9</c:f>
              <c:strCache>
                <c:ptCount val="1"/>
                <c:pt idx="0">
                  <c:v>เส้นที่ 3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แผนงานก่อสร้าง!$AM$9:$AN$9</c:f>
              <c:numCache>
                <c:formatCode>#,##0.00</c:formatCode>
                <c:ptCount val="2"/>
                <c:pt idx="0">
                  <c:v>5</c:v>
                </c:pt>
                <c:pt idx="1">
                  <c:v>12</c:v>
                </c:pt>
              </c:numCache>
            </c:numRef>
          </c:xVal>
          <c:yVal>
            <c:numRef>
              <c:f>แผนงานก่อสร้าง!$AK$9:$AL$9</c:f>
              <c:numCache>
                <c:formatCode>#,##0.00</c:formatCode>
                <c:ptCount val="2"/>
                <c:pt idx="0">
                  <c:v>54.5</c:v>
                </c:pt>
                <c:pt idx="1">
                  <c:v>54.5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CF84-44B8-82D3-0EBF58D4C4A3}"/>
            </c:ext>
          </c:extLst>
        </c:ser>
        <c:ser>
          <c:idx val="6"/>
          <c:order val="6"/>
          <c:tx>
            <c:strRef>
              <c:f>แผนงานก่อสร้าง!$AI$10</c:f>
              <c:strCache>
                <c:ptCount val="1"/>
                <c:pt idx="0">
                  <c:v>เส้นที่ 4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แผนงานก่อสร้าง!$AM$10:$AN$10</c:f>
              <c:numCache>
                <c:formatCode>#,##0.00</c:formatCode>
                <c:ptCount val="2"/>
                <c:pt idx="0">
                  <c:v>5</c:v>
                </c:pt>
                <c:pt idx="1">
                  <c:v>5</c:v>
                </c:pt>
              </c:numCache>
            </c:numRef>
          </c:xVal>
          <c:yVal>
            <c:numRef>
              <c:f>แผนงานก่อสร้าง!$AK$10:$AL$10</c:f>
              <c:numCache>
                <c:formatCode>#,##0.00</c:formatCode>
                <c:ptCount val="2"/>
                <c:pt idx="0">
                  <c:v>52.5</c:v>
                </c:pt>
                <c:pt idx="1">
                  <c:v>54.5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CF84-44B8-82D3-0EBF58D4C4A3}"/>
            </c:ext>
          </c:extLst>
        </c:ser>
        <c:ser>
          <c:idx val="7"/>
          <c:order val="7"/>
          <c:tx>
            <c:strRef>
              <c:f>แผนงานก่อสร้าง!$AI$11</c:f>
              <c:strCache>
                <c:ptCount val="1"/>
                <c:pt idx="0">
                  <c:v>เส้นที่ 5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แผนงานก่อสร้าง!$AM$11:$AN$11</c:f>
              <c:numCache>
                <c:formatCode>#,##0.00</c:formatCode>
                <c:ptCount val="2"/>
                <c:pt idx="0">
                  <c:v>5</c:v>
                </c:pt>
                <c:pt idx="1">
                  <c:v>7</c:v>
                </c:pt>
              </c:numCache>
            </c:numRef>
          </c:xVal>
          <c:yVal>
            <c:numRef>
              <c:f>แผนงานก่อสร้าง!$AK$11:$AL$11</c:f>
              <c:numCache>
                <c:formatCode>#,##0.00</c:formatCode>
                <c:ptCount val="2"/>
                <c:pt idx="0">
                  <c:v>52.5</c:v>
                </c:pt>
                <c:pt idx="1">
                  <c:v>52.5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CF84-44B8-82D3-0EBF58D4C4A3}"/>
            </c:ext>
          </c:extLst>
        </c:ser>
        <c:ser>
          <c:idx val="8"/>
          <c:order val="8"/>
          <c:tx>
            <c:strRef>
              <c:f>แผนงานก่อสร้าง!$AI$12</c:f>
              <c:strCache>
                <c:ptCount val="1"/>
                <c:pt idx="0">
                  <c:v>เส้นที่ 6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แผนงานก่อสร้าง!$AM$12:$AN$12</c:f>
              <c:numCache>
                <c:formatCode>#,##0.00</c:formatCode>
                <c:ptCount val="2"/>
                <c:pt idx="0">
                  <c:v>35</c:v>
                </c:pt>
                <c:pt idx="1">
                  <c:v>30</c:v>
                </c:pt>
              </c:numCache>
            </c:numRef>
          </c:xVal>
          <c:yVal>
            <c:numRef>
              <c:f>แผนงานก่อสร้าง!$AK$12:$AL$12</c:f>
              <c:numCache>
                <c:formatCode>#,##0.00</c:formatCode>
                <c:ptCount val="2"/>
                <c:pt idx="0">
                  <c:v>52.5</c:v>
                </c:pt>
                <c:pt idx="1">
                  <c:v>52.5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CF84-44B8-82D3-0EBF58D4C4A3}"/>
            </c:ext>
          </c:extLst>
        </c:ser>
        <c:ser>
          <c:idx val="9"/>
          <c:order val="9"/>
          <c:tx>
            <c:strRef>
              <c:f>แผนงานก่อสร้าง!$AI$13</c:f>
              <c:strCache>
                <c:ptCount val="1"/>
                <c:pt idx="0">
                  <c:v>เส้นที่ 7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แผนงานก่อสร้าง!$AM$13:$AN$13</c:f>
              <c:numCache>
                <c:formatCode>#,##0.00</c:formatCode>
                <c:ptCount val="2"/>
                <c:pt idx="0">
                  <c:v>35</c:v>
                </c:pt>
                <c:pt idx="1">
                  <c:v>35</c:v>
                </c:pt>
              </c:numCache>
            </c:numRef>
          </c:xVal>
          <c:yVal>
            <c:numRef>
              <c:f>แผนงานก่อสร้าง!$AK$13:$AL$13</c:f>
              <c:numCache>
                <c:formatCode>#,##0.00</c:formatCode>
                <c:ptCount val="2"/>
                <c:pt idx="0">
                  <c:v>49.5</c:v>
                </c:pt>
                <c:pt idx="1">
                  <c:v>52.5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CF84-44B8-82D3-0EBF58D4C4A3}"/>
            </c:ext>
          </c:extLst>
        </c:ser>
        <c:ser>
          <c:idx val="10"/>
          <c:order val="10"/>
          <c:tx>
            <c:strRef>
              <c:f>แผนงานก่อสร้าง!$AI$14</c:f>
              <c:strCache>
                <c:ptCount val="1"/>
                <c:pt idx="0">
                  <c:v>เส้นที่ 8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แผนงานก่อสร้าง!$AM$14:$AN$14</c:f>
              <c:numCache>
                <c:formatCode>#,##0.00</c:formatCode>
                <c:ptCount val="2"/>
                <c:pt idx="0">
                  <c:v>35</c:v>
                </c:pt>
                <c:pt idx="1">
                  <c:v>26</c:v>
                </c:pt>
              </c:numCache>
            </c:numRef>
          </c:xVal>
          <c:yVal>
            <c:numRef>
              <c:f>แผนงานก่อสร้าง!$AK$14:$AL$14</c:f>
              <c:numCache>
                <c:formatCode>#,##0.00</c:formatCode>
                <c:ptCount val="2"/>
                <c:pt idx="0">
                  <c:v>49.5</c:v>
                </c:pt>
                <c:pt idx="1">
                  <c:v>49.5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CF84-44B8-82D3-0EBF58D4C4A3}"/>
            </c:ext>
          </c:extLst>
        </c:ser>
        <c:ser>
          <c:idx val="11"/>
          <c:order val="11"/>
          <c:tx>
            <c:strRef>
              <c:f>แผนงานก่อสร้าง!$AI$15</c:f>
              <c:strCache>
                <c:ptCount val="1"/>
                <c:pt idx="0">
                  <c:v>เส้นที่ 9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แผนงานก่อสร้าง!$AM$15:$AN$15</c:f>
              <c:numCache>
                <c:formatCode>#,##0.00</c:formatCode>
                <c:ptCount val="2"/>
                <c:pt idx="0">
                  <c:v>26</c:v>
                </c:pt>
                <c:pt idx="1">
                  <c:v>26</c:v>
                </c:pt>
              </c:numCache>
            </c:numRef>
          </c:xVal>
          <c:yVal>
            <c:numRef>
              <c:f>แผนงานก่อสร้าง!$AK$15:$AL$15</c:f>
              <c:numCache>
                <c:formatCode>#,##0.00</c:formatCode>
                <c:ptCount val="2"/>
                <c:pt idx="0">
                  <c:v>46.5</c:v>
                </c:pt>
                <c:pt idx="1">
                  <c:v>49.5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CF84-44B8-82D3-0EBF58D4C4A3}"/>
            </c:ext>
          </c:extLst>
        </c:ser>
        <c:ser>
          <c:idx val="12"/>
          <c:order val="12"/>
          <c:tx>
            <c:strRef>
              <c:f>แผนงานก่อสร้าง!$AI$16</c:f>
              <c:strCache>
                <c:ptCount val="1"/>
                <c:pt idx="0">
                  <c:v>เส้นที่ 10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แผนงานก่อสร้าง!$AM$16:$AN$16</c:f>
              <c:numCache>
                <c:formatCode>#,##0.00</c:formatCode>
                <c:ptCount val="2"/>
                <c:pt idx="0">
                  <c:v>31</c:v>
                </c:pt>
                <c:pt idx="1">
                  <c:v>26</c:v>
                </c:pt>
              </c:numCache>
            </c:numRef>
          </c:xVal>
          <c:yVal>
            <c:numRef>
              <c:f>แผนงานก่อสร้าง!$AK$16:$AL$16</c:f>
              <c:numCache>
                <c:formatCode>#,##0.00</c:formatCode>
                <c:ptCount val="2"/>
                <c:pt idx="0">
                  <c:v>46.5</c:v>
                </c:pt>
                <c:pt idx="1">
                  <c:v>46.5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CF84-44B8-82D3-0EBF58D4C4A3}"/>
            </c:ext>
          </c:extLst>
        </c:ser>
        <c:ser>
          <c:idx val="13"/>
          <c:order val="13"/>
          <c:tx>
            <c:strRef>
              <c:f>แผนงานก่อสร้าง!$AI$17</c:f>
              <c:strCache>
                <c:ptCount val="1"/>
                <c:pt idx="0">
                  <c:v>เส้นที่ 11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แผนงานก่อสร้าง!$AM$17:$AN$17</c:f>
              <c:numCache>
                <c:formatCode>#,##0.00</c:formatCode>
                <c:ptCount val="2"/>
                <c:pt idx="0">
                  <c:v>57</c:v>
                </c:pt>
                <c:pt idx="1">
                  <c:v>67</c:v>
                </c:pt>
              </c:numCache>
            </c:numRef>
          </c:xVal>
          <c:yVal>
            <c:numRef>
              <c:f>แผนงานก่อสร้าง!$AK$17:$AL$17</c:f>
              <c:numCache>
                <c:formatCode>#,##0.00</c:formatCode>
                <c:ptCount val="2"/>
                <c:pt idx="0">
                  <c:v>46.5</c:v>
                </c:pt>
                <c:pt idx="1">
                  <c:v>46.5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CF84-44B8-82D3-0EBF58D4C4A3}"/>
            </c:ext>
          </c:extLst>
        </c:ser>
        <c:ser>
          <c:idx val="14"/>
          <c:order val="14"/>
          <c:tx>
            <c:strRef>
              <c:f>แผนงานก่อสร้าง!$AI$18</c:f>
              <c:strCache>
                <c:ptCount val="1"/>
                <c:pt idx="0">
                  <c:v>เส้นที่ 12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6350" cap="rnd">
                <a:solidFill>
                  <a:srgbClr val="0000FF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1C60-4F1C-8067-14CDC3D690BD}"/>
              </c:ext>
            </c:extLst>
          </c:dPt>
          <c:xVal>
            <c:numRef>
              <c:f>แผนงานก่อสร้าง!$AM$18:$AN$18</c:f>
              <c:numCache>
                <c:formatCode>#,##0.00</c:formatCode>
                <c:ptCount val="2"/>
                <c:pt idx="0">
                  <c:v>67</c:v>
                </c:pt>
                <c:pt idx="1">
                  <c:v>67</c:v>
                </c:pt>
              </c:numCache>
            </c:numRef>
          </c:xVal>
          <c:yVal>
            <c:numRef>
              <c:f>แผนงานก่อสร้าง!$AK$18:$AL$18</c:f>
              <c:numCache>
                <c:formatCode>#,##0.00</c:formatCode>
                <c:ptCount val="2"/>
                <c:pt idx="0">
                  <c:v>42</c:v>
                </c:pt>
                <c:pt idx="1">
                  <c:v>46.5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CF84-44B8-82D3-0EBF58D4C4A3}"/>
            </c:ext>
          </c:extLst>
        </c:ser>
        <c:ser>
          <c:idx val="15"/>
          <c:order val="15"/>
          <c:tx>
            <c:strRef>
              <c:f>แผนงานก่อสร้าง!$AI$19</c:f>
              <c:strCache>
                <c:ptCount val="1"/>
                <c:pt idx="0">
                  <c:v>เส้นที่ 13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แผนงานก่อสร้าง!$AM$19:$AN$19</c:f>
              <c:numCache>
                <c:formatCode>#,##0.00</c:formatCode>
                <c:ptCount val="2"/>
                <c:pt idx="0">
                  <c:v>52</c:v>
                </c:pt>
                <c:pt idx="1">
                  <c:v>67</c:v>
                </c:pt>
              </c:numCache>
            </c:numRef>
          </c:xVal>
          <c:yVal>
            <c:numRef>
              <c:f>แผนงานก่อสร้าง!$AK$19:$AL$19</c:f>
              <c:numCache>
                <c:formatCode>#,##0.00</c:formatCode>
                <c:ptCount val="2"/>
                <c:pt idx="0">
                  <c:v>42</c:v>
                </c:pt>
                <c:pt idx="1">
                  <c:v>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CF84-44B8-82D3-0EBF58D4C4A3}"/>
            </c:ext>
          </c:extLst>
        </c:ser>
        <c:ser>
          <c:idx val="16"/>
          <c:order val="16"/>
          <c:tx>
            <c:strRef>
              <c:f>แผนงานก่อสร้าง!$AI$20</c:f>
              <c:strCache>
                <c:ptCount val="1"/>
                <c:pt idx="0">
                  <c:v>เส้นที่ 14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แผนงานก่อสร้าง!$AM$20:$AN$20</c:f>
              <c:numCache>
                <c:formatCode>#,##0.00</c:formatCode>
                <c:ptCount val="2"/>
                <c:pt idx="0">
                  <c:v>52</c:v>
                </c:pt>
                <c:pt idx="1">
                  <c:v>52</c:v>
                </c:pt>
              </c:numCache>
            </c:numRef>
          </c:xVal>
          <c:yVal>
            <c:numRef>
              <c:f>แผนงานก่อสร้าง!$AK$20:$AL$20</c:f>
              <c:numCache>
                <c:formatCode>#,##0.00</c:formatCode>
                <c:ptCount val="2"/>
                <c:pt idx="0">
                  <c:v>37.5</c:v>
                </c:pt>
                <c:pt idx="1">
                  <c:v>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CF84-44B8-82D3-0EBF58D4C4A3}"/>
            </c:ext>
          </c:extLst>
        </c:ser>
        <c:ser>
          <c:idx val="17"/>
          <c:order val="17"/>
          <c:tx>
            <c:strRef>
              <c:f>แผนงานก่อสร้าง!$AI$21</c:f>
              <c:strCache>
                <c:ptCount val="1"/>
                <c:pt idx="0">
                  <c:v>เส้นที่ 15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แผนงานก่อสร้าง!$AM$21:$AN$21</c:f>
              <c:numCache>
                <c:formatCode>#,##0.00</c:formatCode>
                <c:ptCount val="2"/>
                <c:pt idx="0">
                  <c:v>52</c:v>
                </c:pt>
                <c:pt idx="1">
                  <c:v>59</c:v>
                </c:pt>
              </c:numCache>
            </c:numRef>
          </c:xVal>
          <c:yVal>
            <c:numRef>
              <c:f>แผนงานก่อสร้าง!$AK$21:$AL$21</c:f>
              <c:numCache>
                <c:formatCode>#,##0.00</c:formatCode>
                <c:ptCount val="2"/>
                <c:pt idx="0">
                  <c:v>37.5</c:v>
                </c:pt>
                <c:pt idx="1">
                  <c:v>37.5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E-CF84-44B8-82D3-0EBF58D4C4A3}"/>
            </c:ext>
          </c:extLst>
        </c:ser>
        <c:ser>
          <c:idx val="18"/>
          <c:order val="18"/>
          <c:tx>
            <c:strRef>
              <c:f>แผนงานก่อสร้าง!$AI$22</c:f>
              <c:strCache>
                <c:ptCount val="1"/>
                <c:pt idx="0">
                  <c:v>เส้นที่ 16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แผนงานก่อสร้าง!$AM$22:$AN$22</c:f>
              <c:numCache>
                <c:formatCode>#,##0.00</c:formatCode>
                <c:ptCount val="2"/>
                <c:pt idx="0">
                  <c:v>85</c:v>
                </c:pt>
                <c:pt idx="1">
                  <c:v>95</c:v>
                </c:pt>
              </c:numCache>
            </c:numRef>
          </c:xVal>
          <c:yVal>
            <c:numRef>
              <c:f>แผนงานก่อสร้าง!$AK$22:$AL$22</c:f>
              <c:numCache>
                <c:formatCode>#,##0.00</c:formatCode>
                <c:ptCount val="2"/>
                <c:pt idx="0">
                  <c:v>37.5</c:v>
                </c:pt>
                <c:pt idx="1">
                  <c:v>37.5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CF84-44B8-82D3-0EBF58D4C4A3}"/>
            </c:ext>
          </c:extLst>
        </c:ser>
        <c:ser>
          <c:idx val="19"/>
          <c:order val="19"/>
          <c:tx>
            <c:strRef>
              <c:f>แผนงานก่อสร้าง!$AI$23</c:f>
              <c:strCache>
                <c:ptCount val="1"/>
                <c:pt idx="0">
                  <c:v>เส้นที่ 17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6350" cap="rnd">
                <a:solidFill>
                  <a:srgbClr val="0000FF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6-CF84-44B8-82D3-0EBF58D4C4A3}"/>
              </c:ext>
            </c:extLst>
          </c:dPt>
          <c:xVal>
            <c:numRef>
              <c:f>แผนงานก่อสร้าง!$AM$23:$AN$23</c:f>
              <c:numCache>
                <c:formatCode>#,##0.00</c:formatCode>
                <c:ptCount val="2"/>
                <c:pt idx="0">
                  <c:v>95</c:v>
                </c:pt>
                <c:pt idx="1">
                  <c:v>95</c:v>
                </c:pt>
              </c:numCache>
            </c:numRef>
          </c:xVal>
          <c:yVal>
            <c:numRef>
              <c:f>แผนงานก่อสร้าง!$AK$23:$AL$23</c:f>
              <c:numCache>
                <c:formatCode>#,##0.00</c:formatCode>
                <c:ptCount val="2"/>
                <c:pt idx="0">
                  <c:v>32</c:v>
                </c:pt>
                <c:pt idx="1">
                  <c:v>37.5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2-CF84-44B8-82D3-0EBF58D4C4A3}"/>
            </c:ext>
          </c:extLst>
        </c:ser>
        <c:ser>
          <c:idx val="20"/>
          <c:order val="20"/>
          <c:tx>
            <c:strRef>
              <c:f>แผนงานก่อสร้าง!$AI$24</c:f>
              <c:strCache>
                <c:ptCount val="1"/>
                <c:pt idx="0">
                  <c:v>เส้นที่ 18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แผนงานก่อสร้าง!$AM$24:$AN$24</c:f>
              <c:numCache>
                <c:formatCode>#,##0.00</c:formatCode>
                <c:ptCount val="2"/>
                <c:pt idx="0">
                  <c:v>84</c:v>
                </c:pt>
                <c:pt idx="1">
                  <c:v>95</c:v>
                </c:pt>
              </c:numCache>
            </c:numRef>
          </c:xVal>
          <c:yVal>
            <c:numRef>
              <c:f>แผนงานก่อสร้าง!$AK$24:$AL$24</c:f>
              <c:numCache>
                <c:formatCode>#,##0.00</c:formatCode>
                <c:ptCount val="2"/>
                <c:pt idx="0">
                  <c:v>32</c:v>
                </c:pt>
                <c:pt idx="1">
                  <c:v>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3-CF84-44B8-82D3-0EBF58D4C4A3}"/>
            </c:ext>
          </c:extLst>
        </c:ser>
        <c:ser>
          <c:idx val="21"/>
          <c:order val="21"/>
          <c:tx>
            <c:strRef>
              <c:f>แผนงานก่อสร้าง!$AI$25</c:f>
              <c:strCache>
                <c:ptCount val="1"/>
                <c:pt idx="0">
                  <c:v>เส้นที่ 19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แผนงานก่อสร้าง!$AM$25:$AN$25</c:f>
              <c:numCache>
                <c:formatCode>#,##0.00</c:formatCode>
                <c:ptCount val="2"/>
                <c:pt idx="0">
                  <c:v>84</c:v>
                </c:pt>
                <c:pt idx="1">
                  <c:v>84</c:v>
                </c:pt>
              </c:numCache>
            </c:numRef>
          </c:xVal>
          <c:yVal>
            <c:numRef>
              <c:f>แผนงานก่อสร้าง!$AK$25:$AL$25</c:f>
              <c:numCache>
                <c:formatCode>#,##0.00</c:formatCode>
                <c:ptCount val="2"/>
                <c:pt idx="0">
                  <c:v>26.55</c:v>
                </c:pt>
                <c:pt idx="1">
                  <c:v>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4-CF84-44B8-82D3-0EBF58D4C4A3}"/>
            </c:ext>
          </c:extLst>
        </c:ser>
        <c:ser>
          <c:idx val="22"/>
          <c:order val="22"/>
          <c:tx>
            <c:strRef>
              <c:f>แผนงานก่อสร้าง!$AI$26</c:f>
              <c:strCache>
                <c:ptCount val="1"/>
                <c:pt idx="0">
                  <c:v>เส้นที่ 20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แผนงานก่อสร้าง!$AM$26:$AN$26</c:f>
              <c:numCache>
                <c:formatCode>#,##0.00</c:formatCode>
                <c:ptCount val="2"/>
                <c:pt idx="0">
                  <c:v>84</c:v>
                </c:pt>
                <c:pt idx="1">
                  <c:v>94</c:v>
                </c:pt>
              </c:numCache>
            </c:numRef>
          </c:xVal>
          <c:yVal>
            <c:numRef>
              <c:f>แผนงานก่อสร้าง!$AK$26:$AL$26</c:f>
              <c:numCache>
                <c:formatCode>#,##0.00</c:formatCode>
                <c:ptCount val="2"/>
                <c:pt idx="0">
                  <c:v>26.55</c:v>
                </c:pt>
                <c:pt idx="1">
                  <c:v>26.55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5-CF84-44B8-82D3-0EBF58D4C4A3}"/>
            </c:ext>
          </c:extLst>
        </c:ser>
        <c:ser>
          <c:idx val="23"/>
          <c:order val="23"/>
          <c:tx>
            <c:strRef>
              <c:f>แผนงานก่อสร้าง!$AI$27</c:f>
              <c:strCache>
                <c:ptCount val="1"/>
                <c:pt idx="0">
                  <c:v>เส้นที่ 21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แผนงานก่อสร้าง!$AM$27:$AN$27</c:f>
              <c:numCache>
                <c:formatCode>#,##0.00</c:formatCode>
                <c:ptCount val="2"/>
                <c:pt idx="0">
                  <c:v>84</c:v>
                </c:pt>
                <c:pt idx="1">
                  <c:v>94</c:v>
                </c:pt>
              </c:numCache>
            </c:numRef>
          </c:xVal>
          <c:yVal>
            <c:numRef>
              <c:f>แผนงานก่อสร้าง!$AK$27:$AL$27</c:f>
              <c:numCache>
                <c:formatCode>#,##0.00</c:formatCode>
                <c:ptCount val="2"/>
                <c:pt idx="0">
                  <c:v>26.400000000000002</c:v>
                </c:pt>
                <c:pt idx="1">
                  <c:v>26.400000000000002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8-CF84-44B8-82D3-0EBF58D4C4A3}"/>
            </c:ext>
          </c:extLst>
        </c:ser>
        <c:ser>
          <c:idx val="24"/>
          <c:order val="24"/>
          <c:tx>
            <c:strRef>
              <c:f>แผนงานก่อสร้าง!$AI$28</c:f>
              <c:strCache>
                <c:ptCount val="1"/>
                <c:pt idx="0">
                  <c:v>เส้นที่ 22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แผนงานก่อสร้าง!$AM$28:$AN$28</c:f>
              <c:numCache>
                <c:formatCode>#,##0.00</c:formatCode>
                <c:ptCount val="2"/>
                <c:pt idx="0">
                  <c:v>84</c:v>
                </c:pt>
                <c:pt idx="1">
                  <c:v>84</c:v>
                </c:pt>
              </c:numCache>
            </c:numRef>
          </c:xVal>
          <c:yVal>
            <c:numRef>
              <c:f>แผนงานก่อสร้าง!$AK$28:$AL$28</c:f>
              <c:numCache>
                <c:formatCode>#,##0.00</c:formatCode>
                <c:ptCount val="2"/>
                <c:pt idx="0">
                  <c:v>22.55</c:v>
                </c:pt>
                <c:pt idx="1">
                  <c:v>26.400000000000002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9-CF84-44B8-82D3-0EBF58D4C4A3}"/>
            </c:ext>
          </c:extLst>
        </c:ser>
        <c:ser>
          <c:idx val="25"/>
          <c:order val="25"/>
          <c:tx>
            <c:strRef>
              <c:f>แผนงานก่อสร้าง!$AI$29</c:f>
              <c:strCache>
                <c:ptCount val="1"/>
                <c:pt idx="0">
                  <c:v>เส้นที่ 23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แผนงานก่อสร้าง!$AM$29:$AN$29</c:f>
              <c:numCache>
                <c:formatCode>#,##0.00</c:formatCode>
                <c:ptCount val="2"/>
                <c:pt idx="0">
                  <c:v>84</c:v>
                </c:pt>
                <c:pt idx="1">
                  <c:v>94</c:v>
                </c:pt>
              </c:numCache>
            </c:numRef>
          </c:xVal>
          <c:yVal>
            <c:numRef>
              <c:f>แผนงานก่อสร้าง!$AK$29:$AL$29</c:f>
              <c:numCache>
                <c:formatCode>#,##0.00</c:formatCode>
                <c:ptCount val="2"/>
                <c:pt idx="0">
                  <c:v>22.55</c:v>
                </c:pt>
                <c:pt idx="1">
                  <c:v>22.55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A-CF84-44B8-82D3-0EBF58D4C4A3}"/>
            </c:ext>
          </c:extLst>
        </c:ser>
        <c:ser>
          <c:idx val="26"/>
          <c:order val="26"/>
          <c:tx>
            <c:strRef>
              <c:f>แผนงานก่อสร้าง!$AI$30</c:f>
              <c:strCache>
                <c:ptCount val="1"/>
                <c:pt idx="0">
                  <c:v>เส้นที่ 24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แผนงานก่อสร้าง!$AM$30:$AN$30</c:f>
              <c:numCache>
                <c:formatCode>#,##0.00</c:formatCode>
                <c:ptCount val="2"/>
                <c:pt idx="0">
                  <c:v>84</c:v>
                </c:pt>
                <c:pt idx="1">
                  <c:v>94</c:v>
                </c:pt>
              </c:numCache>
            </c:numRef>
          </c:xVal>
          <c:yVal>
            <c:numRef>
              <c:f>แผนงานก่อสร้าง!$AK$30:$AL$30</c:f>
              <c:numCache>
                <c:formatCode>#,##0.00</c:formatCode>
                <c:ptCount val="2"/>
                <c:pt idx="0">
                  <c:v>22.400000000000002</c:v>
                </c:pt>
                <c:pt idx="1">
                  <c:v>22.400000000000002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B-CF84-44B8-82D3-0EBF58D4C4A3}"/>
            </c:ext>
          </c:extLst>
        </c:ser>
        <c:ser>
          <c:idx val="27"/>
          <c:order val="27"/>
          <c:tx>
            <c:strRef>
              <c:f>แผนงานก่อสร้าง!$AI$31</c:f>
              <c:strCache>
                <c:ptCount val="1"/>
                <c:pt idx="0">
                  <c:v>เส้นที่ 25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แผนงานก่อสร้าง!$AM$31:$AN$31</c:f>
              <c:numCache>
                <c:formatCode>#,##0.00</c:formatCode>
                <c:ptCount val="2"/>
                <c:pt idx="0">
                  <c:v>84</c:v>
                </c:pt>
                <c:pt idx="1">
                  <c:v>84</c:v>
                </c:pt>
              </c:numCache>
            </c:numRef>
          </c:xVal>
          <c:yVal>
            <c:numRef>
              <c:f>แผนงานก่อสร้าง!$AK$31:$AL$31</c:f>
              <c:numCache>
                <c:formatCode>#,##0.00</c:formatCode>
                <c:ptCount val="2"/>
                <c:pt idx="0">
                  <c:v>14.5</c:v>
                </c:pt>
                <c:pt idx="1">
                  <c:v>22.400000000000002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CF84-44B8-82D3-0EBF58D4C4A3}"/>
            </c:ext>
          </c:extLst>
        </c:ser>
        <c:ser>
          <c:idx val="28"/>
          <c:order val="28"/>
          <c:tx>
            <c:strRef>
              <c:f>แผนงานก่อสร้าง!$AI$32</c:f>
              <c:strCache>
                <c:ptCount val="1"/>
                <c:pt idx="0">
                  <c:v>เส้นที่ 26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แผนงานก่อสร้าง!$AM$32:$AN$32</c:f>
              <c:numCache>
                <c:formatCode>#,##0.00</c:formatCode>
                <c:ptCount val="2"/>
                <c:pt idx="0">
                  <c:v>84</c:v>
                </c:pt>
                <c:pt idx="1">
                  <c:v>99</c:v>
                </c:pt>
              </c:numCache>
            </c:numRef>
          </c:xVal>
          <c:yVal>
            <c:numRef>
              <c:f>แผนงานก่อสร้าง!$AK$32:$AL$32</c:f>
              <c:numCache>
                <c:formatCode>#,##0.00</c:formatCode>
                <c:ptCount val="2"/>
                <c:pt idx="0">
                  <c:v>14.5</c:v>
                </c:pt>
                <c:pt idx="1">
                  <c:v>14.5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D-CF84-44B8-82D3-0EBF58D4C4A3}"/>
            </c:ext>
          </c:extLst>
        </c:ser>
        <c:ser>
          <c:idx val="29"/>
          <c:order val="29"/>
          <c:tx>
            <c:strRef>
              <c:f>แผนงานก่อสร้าง!$AI$33</c:f>
              <c:strCache>
                <c:ptCount val="1"/>
                <c:pt idx="0">
                  <c:v>เส้นที่ 27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แผนงานก่อสร้าง!$AM$33:$AN$33</c:f>
              <c:numCache>
                <c:formatCode>#,##0.00</c:formatCode>
                <c:ptCount val="2"/>
                <c:pt idx="0">
                  <c:v>127</c:v>
                </c:pt>
                <c:pt idx="1">
                  <c:v>132</c:v>
                </c:pt>
              </c:numCache>
            </c:numRef>
          </c:xVal>
          <c:yVal>
            <c:numRef>
              <c:f>แผนงานก่อสร้าง!$AK$33:$AL$33</c:f>
              <c:numCache>
                <c:formatCode>#,##0.00</c:formatCode>
                <c:ptCount val="2"/>
                <c:pt idx="0">
                  <c:v>14.5</c:v>
                </c:pt>
                <c:pt idx="1">
                  <c:v>14.5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E-CF84-44B8-82D3-0EBF58D4C4A3}"/>
            </c:ext>
          </c:extLst>
        </c:ser>
        <c:ser>
          <c:idx val="30"/>
          <c:order val="30"/>
          <c:tx>
            <c:strRef>
              <c:f>แผนงานก่อสร้าง!$AI$34</c:f>
              <c:strCache>
                <c:ptCount val="1"/>
                <c:pt idx="0">
                  <c:v>เส้นที่ 28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แผนงานก่อสร้าง!$AM$34:$AN$34</c:f>
              <c:numCache>
                <c:formatCode>#,##0.00</c:formatCode>
                <c:ptCount val="2"/>
                <c:pt idx="0">
                  <c:v>132</c:v>
                </c:pt>
                <c:pt idx="1">
                  <c:v>132</c:v>
                </c:pt>
              </c:numCache>
            </c:numRef>
          </c:xVal>
          <c:yVal>
            <c:numRef>
              <c:f>แผนงานก่อสร้าง!$AK$34:$AL$34</c:f>
              <c:numCache>
                <c:formatCode>#,##0.00</c:formatCode>
                <c:ptCount val="2"/>
                <c:pt idx="0">
                  <c:v>10.5</c:v>
                </c:pt>
                <c:pt idx="1">
                  <c:v>14.5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F-CF84-44B8-82D3-0EBF58D4C4A3}"/>
            </c:ext>
          </c:extLst>
        </c:ser>
        <c:ser>
          <c:idx val="31"/>
          <c:order val="31"/>
          <c:tx>
            <c:strRef>
              <c:f>แผนงานก่อสร้าง!$AI$35</c:f>
              <c:strCache>
                <c:ptCount val="1"/>
                <c:pt idx="0">
                  <c:v>เส้นที่ 29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แผนงานก่อสร้าง!$AM$35:$AN$35</c:f>
              <c:numCache>
                <c:formatCode>#,##0.00</c:formatCode>
                <c:ptCount val="2"/>
                <c:pt idx="0">
                  <c:v>117</c:v>
                </c:pt>
                <c:pt idx="1">
                  <c:v>132</c:v>
                </c:pt>
              </c:numCache>
            </c:numRef>
          </c:xVal>
          <c:yVal>
            <c:numRef>
              <c:f>แผนงานก่อสร้าง!$AK$35:$AL$35</c:f>
              <c:numCache>
                <c:formatCode>#,##0.00</c:formatCode>
                <c:ptCount val="2"/>
                <c:pt idx="0">
                  <c:v>10.5</c:v>
                </c:pt>
                <c:pt idx="1">
                  <c:v>10.5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0-CF84-44B8-82D3-0EBF58D4C4A3}"/>
            </c:ext>
          </c:extLst>
        </c:ser>
        <c:ser>
          <c:idx val="32"/>
          <c:order val="32"/>
          <c:tx>
            <c:strRef>
              <c:f>แผนงานก่อสร้าง!$AI$36</c:f>
              <c:strCache>
                <c:ptCount val="1"/>
                <c:pt idx="0">
                  <c:v>เส้นที่ 30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แผนงานก่อสร้าง!$AM$36:$AN$36</c:f>
              <c:numCache>
                <c:formatCode>#,##0.00</c:formatCode>
                <c:ptCount val="2"/>
                <c:pt idx="0">
                  <c:v>117</c:v>
                </c:pt>
                <c:pt idx="1">
                  <c:v>117</c:v>
                </c:pt>
              </c:numCache>
            </c:numRef>
          </c:xVal>
          <c:yVal>
            <c:numRef>
              <c:f>แผนงานก่อสร้าง!$AK$36:$AL$36</c:f>
              <c:numCache>
                <c:formatCode>#,##0.00</c:formatCode>
                <c:ptCount val="2"/>
                <c:pt idx="0">
                  <c:v>6.5</c:v>
                </c:pt>
                <c:pt idx="1">
                  <c:v>10.5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1-CF84-44B8-82D3-0EBF58D4C4A3}"/>
            </c:ext>
          </c:extLst>
        </c:ser>
        <c:ser>
          <c:idx val="33"/>
          <c:order val="33"/>
          <c:tx>
            <c:strRef>
              <c:f>แผนงานก่อสร้าง!$AI$37</c:f>
              <c:strCache>
                <c:ptCount val="1"/>
                <c:pt idx="0">
                  <c:v>เส้นที่ 31</c:v>
                </c:pt>
              </c:strCache>
            </c:strRef>
          </c:tx>
          <c:spPr>
            <a:ln w="63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แผนงานก่อสร้าง!$AM$37:$AN$37</c:f>
              <c:numCache>
                <c:formatCode>#,##0.00</c:formatCode>
                <c:ptCount val="2"/>
                <c:pt idx="0">
                  <c:v>117</c:v>
                </c:pt>
                <c:pt idx="1">
                  <c:v>132</c:v>
                </c:pt>
              </c:numCache>
            </c:numRef>
          </c:xVal>
          <c:yVal>
            <c:numRef>
              <c:f>แผนงานก่อสร้าง!$AK$37:$AL$37</c:f>
              <c:numCache>
                <c:formatCode>#,##0.00</c:formatCode>
                <c:ptCount val="2"/>
                <c:pt idx="0">
                  <c:v>6.5</c:v>
                </c:pt>
                <c:pt idx="1">
                  <c:v>6.5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2-CF84-44B8-82D3-0EBF58D4C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058784"/>
        <c:axId val="1523108607"/>
      </c:scatterChart>
      <c:scatterChart>
        <c:scatterStyle val="lineMarker"/>
        <c:varyColors val="0"/>
        <c:ser>
          <c:idx val="34"/>
          <c:order val="34"/>
          <c:tx>
            <c:strRef>
              <c:f>แผนงานก่อสร้าง!$AP$32</c:f>
              <c:strCache>
                <c:ptCount val="1"/>
                <c:pt idx="0">
                  <c:v>เลือกช่วงสัปดาห์ที่ต้องการตรวจสอบ 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1"/>
            <c:marker>
              <c:symbol val="circle"/>
              <c:size val="6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22225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1C60-4F1C-8067-14CDC3D690BD}"/>
              </c:ext>
            </c:extLst>
          </c:dPt>
          <c:dPt>
            <c:idx val="2"/>
            <c:marker>
              <c:symbol val="circle"/>
              <c:size val="6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2540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1C60-4F1C-8067-14CDC3D690BD}"/>
              </c:ext>
            </c:extLst>
          </c:dPt>
          <c:xVal>
            <c:numRef>
              <c:f>แผนงานก่อสร้าง!$AV$33:$AV$35</c:f>
              <c:numCache>
                <c:formatCode>General</c:formatCode>
                <c:ptCount val="3"/>
                <c:pt idx="0">
                  <c:v>0</c:v>
                </c:pt>
                <c:pt idx="1">
                  <c:v>90</c:v>
                </c:pt>
                <c:pt idx="2">
                  <c:v>90</c:v>
                </c:pt>
              </c:numCache>
            </c:numRef>
          </c:xVal>
          <c:yVal>
            <c:numRef>
              <c:f>แผนงานก่อสร้าง!$AW$33:$AW$35</c:f>
              <c:numCache>
                <c:formatCode>General</c:formatCode>
                <c:ptCount val="3"/>
                <c:pt idx="0">
                  <c:v>53.199999999999996</c:v>
                </c:pt>
                <c:pt idx="1">
                  <c:v>53.199999999999996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1C60-4F1C-8067-14CDC3D690BD}"/>
            </c:ext>
          </c:extLst>
        </c:ser>
        <c:ser>
          <c:idx val="35"/>
          <c:order val="35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7349390216747099E-2"/>
                  <c:y val="-4.7577239862352187E-3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600" b="0" i="0" u="none" strike="noStrike" kern="1200" baseline="0">
                        <a:solidFill>
                          <a:sysClr val="windowText" lastClr="000000"/>
                        </a:solidFill>
                        <a:latin typeface="TH SarabunPSK" panose="020B0500040200020003" pitchFamily="34" charset="-34"/>
                        <a:ea typeface="+mn-ea"/>
                        <a:cs typeface="TH SarabunPSK" panose="020B0500040200020003" pitchFamily="34" charset="-34"/>
                      </a:defRPr>
                    </a:pPr>
                    <a:fld id="{F1EAFC76-2DF4-430D-BF55-3B94827A8BF2}" type="CELLRANGE">
                      <a:rPr lang="en-US"/>
                      <a:pPr>
                        <a:defRPr sz="1600" baseline="0">
                          <a:solidFill>
                            <a:sysClr val="windowText" lastClr="000000"/>
                          </a:solidFill>
                          <a:latin typeface="TH SarabunPSK" panose="020B0500040200020003" pitchFamily="34" charset="-34"/>
                          <a:cs typeface="TH SarabunPSK" panose="020B0500040200020003" pitchFamily="34" charset="-34"/>
                        </a:defRPr>
                      </a:pPr>
                      <a:t>[CELLRANGE]</a:t>
                    </a:fld>
                    <a:endParaRPr lang="th-TH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ysClr val="windowText" lastClr="000000"/>
                      </a:solidFill>
                      <a:latin typeface="TH SarabunPSK" panose="020B0500040200020003" pitchFamily="34" charset="-34"/>
                      <a:ea typeface="+mn-ea"/>
                      <a:cs typeface="TH SarabunPSK" panose="020B0500040200020003" pitchFamily="34" charset="-34"/>
                    </a:defRPr>
                  </a:pPr>
                  <a:endParaRPr lang="th-TH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6851192992855988"/>
                      <c:h val="5.078900449836382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1C60-4F1C-8067-14CDC3D690B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DataLabelsRange val="1"/>
                <c15:showLeaderLines val="0"/>
              </c:ext>
            </c:extLst>
          </c:dLbls>
          <c:xVal>
            <c:numRef>
              <c:f>แผนงานก่อสร้าง!$AV$34</c:f>
              <c:numCache>
                <c:formatCode>General</c:formatCode>
                <c:ptCount val="1"/>
                <c:pt idx="0">
                  <c:v>90</c:v>
                </c:pt>
              </c:numCache>
            </c:numRef>
          </c:xVal>
          <c:yVal>
            <c:numRef>
              <c:f>แผนงานก่อสร้าง!$AW$34</c:f>
              <c:numCache>
                <c:formatCode>General</c:formatCode>
                <c:ptCount val="1"/>
                <c:pt idx="0">
                  <c:v>53.199999999999996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แผนงานก่อสร้าง!$AQ$39</c15:f>
                <c15:dlblRangeCache>
                  <c:ptCount val="1"/>
                  <c:pt idx="0">
                    <c:v>ผลงานประจำ WEEK 6  433950.11THB,มูลค่าการเบิกงวดสะสมที่ควรได้  2061263.05THB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1C60-4F1C-8067-14CDC3D690BD}"/>
            </c:ext>
          </c:extLst>
        </c:ser>
        <c:ser>
          <c:idx val="36"/>
          <c:order val="36"/>
          <c:spPr>
            <a:ln w="28575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-2.5852855384331661E-2"/>
                </c:manualLayout>
              </c:layout>
              <c:tx>
                <c:rich>
                  <a:bodyPr/>
                  <a:lstStyle/>
                  <a:p>
                    <a:fld id="{2CDD7D0B-7CC5-4205-A691-628A1F96FF77}" type="CELLRANGE">
                      <a:rPr lang="en-US"/>
                      <a:pPr/>
                      <a:t>[CELLRANGE]</a:t>
                    </a:fld>
                    <a:endParaRPr lang="th-T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1C60-4F1C-8067-14CDC3D690B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DataLabelsRange val="1"/>
                <c15:showLeaderLines val="0"/>
              </c:ext>
            </c:extLst>
          </c:dLbls>
          <c:xVal>
            <c:numRef>
              <c:f>แผนงานก่อสร้าง!$AV$35</c:f>
              <c:numCache>
                <c:formatCode>General</c:formatCode>
                <c:ptCount val="1"/>
                <c:pt idx="0">
                  <c:v>90</c:v>
                </c:pt>
              </c:numCache>
            </c:numRef>
          </c:xVal>
          <c:yVal>
            <c:numRef>
              <c:f>แผนงานก่อสร้าง!$AW$35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แผนงานก่อสร้าง!$AQ$40</c15:f>
                <c15:dlblRangeCache>
                  <c:ptCount val="1"/>
                  <c:pt idx="0">
                    <c:v>วันที่วัดผลงาน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E-1C60-4F1C-8067-14CDC3D69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058784"/>
        <c:axId val="1523108607"/>
      </c:scatterChart>
      <c:valAx>
        <c:axId val="544058784"/>
        <c:scaling>
          <c:orientation val="minMax"/>
          <c:max val="150"/>
          <c:min val="0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prstDash val="lgDash"/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523108607"/>
        <c:crosses val="autoZero"/>
        <c:crossBetween val="midCat"/>
        <c:majorUnit val="15"/>
        <c:minorUnit val="3"/>
      </c:valAx>
      <c:valAx>
        <c:axId val="1523108607"/>
        <c:scaling>
          <c:orientation val="minMax"/>
          <c:max val="57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low"/>
        <c:spPr>
          <a:noFill/>
          <a:ln w="6350">
            <a:solidFill>
              <a:schemeClr val="tx1"/>
            </a:solidFill>
            <a:prstDash val="lgDash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544058784"/>
        <c:crosses val="autoZero"/>
        <c:crossBetween val="midCat"/>
        <c:majorUnit val="1"/>
        <c:minorUnit val="0.5"/>
      </c:valAx>
      <c:valAx>
        <c:axId val="1610960287"/>
        <c:scaling>
          <c:orientation val="minMax"/>
          <c:max val="243822"/>
          <c:min val="243678"/>
        </c:scaling>
        <c:delete val="0"/>
        <c:axPos val="b"/>
        <c:numFmt formatCode="[$-409]d\-mmm;@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660427919"/>
        <c:crosses val="max"/>
        <c:crossBetween val="between"/>
        <c:majorUnit val="15"/>
      </c:valAx>
      <c:catAx>
        <c:axId val="1660427919"/>
        <c:scaling>
          <c:orientation val="maxMin"/>
        </c:scaling>
        <c:delete val="0"/>
        <c:axPos val="l"/>
        <c:majorTickMark val="none"/>
        <c:minorTickMark val="none"/>
        <c:tickLblPos val="high"/>
        <c:spPr>
          <a:noFill/>
          <a:ln w="6350" cap="flat" cmpd="sng" algn="ctr">
            <a:noFill/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610960287"/>
        <c:crosses val="autoZero"/>
        <c:auto val="1"/>
        <c:lblAlgn val="ctr"/>
        <c:lblOffset val="100"/>
        <c:noMultiLvlLbl val="0"/>
      </c:catAx>
      <c:spPr>
        <a:solidFill>
          <a:srgbClr val="FFFBEF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0" dropStyle="combo" dx="22" fmlaLink="$AS$34" fmlaRange="$BB$8:$BB$17" noThreeD="1" sel="6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9524</xdr:colOff>
      <xdr:row>4</xdr:row>
      <xdr:rowOff>156883</xdr:rowOff>
    </xdr:from>
    <xdr:to>
      <xdr:col>33</xdr:col>
      <xdr:colOff>56030</xdr:colOff>
      <xdr:row>64</xdr:row>
      <xdr:rowOff>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E4512DF-B3E9-8DD3-16DF-E91D2CD38B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470646</xdr:colOff>
          <xdr:row>32</xdr:row>
          <xdr:rowOff>316966</xdr:rowOff>
        </xdr:from>
        <xdr:to>
          <xdr:col>46</xdr:col>
          <xdr:colOff>11205</xdr:colOff>
          <xdr:row>34</xdr:row>
          <xdr:rowOff>119263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44</xdr:col>
      <xdr:colOff>242454</xdr:colOff>
      <xdr:row>3</xdr:row>
      <xdr:rowOff>0</xdr:rowOff>
    </xdr:from>
    <xdr:to>
      <xdr:col>44</xdr:col>
      <xdr:colOff>623454</xdr:colOff>
      <xdr:row>5</xdr:row>
      <xdr:rowOff>69273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A87CD96C-EEA3-B8BA-36D3-808706174B39}"/>
            </a:ext>
          </a:extLst>
        </xdr:cNvPr>
        <xdr:cNvSpPr/>
      </xdr:nvSpPr>
      <xdr:spPr>
        <a:xfrm>
          <a:off x="20885727" y="1246909"/>
          <a:ext cx="381000" cy="692728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36</xdr:col>
      <xdr:colOff>412175</xdr:colOff>
      <xdr:row>2</xdr:row>
      <xdr:rowOff>308263</xdr:rowOff>
    </xdr:from>
    <xdr:to>
      <xdr:col>37</xdr:col>
      <xdr:colOff>187039</xdr:colOff>
      <xdr:row>4</xdr:row>
      <xdr:rowOff>290946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BB967E1A-A093-4371-921F-A3426F3195C9}"/>
            </a:ext>
          </a:extLst>
        </xdr:cNvPr>
        <xdr:cNvSpPr/>
      </xdr:nvSpPr>
      <xdr:spPr>
        <a:xfrm>
          <a:off x="16206357" y="1156854"/>
          <a:ext cx="381000" cy="692728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38</xdr:col>
      <xdr:colOff>477982</xdr:colOff>
      <xdr:row>2</xdr:row>
      <xdr:rowOff>322118</xdr:rowOff>
    </xdr:from>
    <xdr:to>
      <xdr:col>39</xdr:col>
      <xdr:colOff>252846</xdr:colOff>
      <xdr:row>4</xdr:row>
      <xdr:rowOff>304801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FD3F17D5-5406-40D2-AAE7-9C6F844819C8}"/>
            </a:ext>
          </a:extLst>
        </xdr:cNvPr>
        <xdr:cNvSpPr/>
      </xdr:nvSpPr>
      <xdr:spPr>
        <a:xfrm>
          <a:off x="17484437" y="1170709"/>
          <a:ext cx="381000" cy="692728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E77E8-BA60-4C58-94DD-CFE0263D35A0}">
  <sheetPr>
    <tabColor rgb="FF00B050"/>
  </sheetPr>
  <dimension ref="A1:BL156"/>
  <sheetViews>
    <sheetView tabSelected="1" zoomScale="55" zoomScaleNormal="55" zoomScaleSheetLayoutView="85" workbookViewId="0">
      <selection activeCell="BA18" sqref="BA18"/>
    </sheetView>
  </sheetViews>
  <sheetFormatPr defaultRowHeight="24" x14ac:dyDescent="0.5"/>
  <cols>
    <col min="1" max="1" width="3.28515625" style="102" bestFit="1" customWidth="1"/>
    <col min="2" max="2" width="5.85546875" style="102" customWidth="1"/>
    <col min="3" max="7" width="9.140625" style="102"/>
    <col min="8" max="8" width="5" style="102" customWidth="1"/>
    <col min="9" max="9" width="9.5703125" style="45" bestFit="1" customWidth="1"/>
    <col min="10" max="10" width="11.42578125" style="45" bestFit="1" customWidth="1"/>
    <col min="11" max="11" width="8.5703125" style="45" customWidth="1"/>
    <col min="12" max="12" width="14.42578125" style="109" customWidth="1"/>
    <col min="13" max="13" width="4.7109375" style="102" customWidth="1"/>
    <col min="14" max="32" width="5.28515625" style="102" customWidth="1"/>
    <col min="33" max="34" width="5.7109375" style="102" customWidth="1"/>
    <col min="35" max="36" width="9.140625" style="45"/>
    <col min="37" max="44" width="9.140625" style="102"/>
    <col min="45" max="45" width="12.140625" style="102" customWidth="1"/>
    <col min="46" max="46" width="9.7109375" style="102" customWidth="1"/>
    <col min="47" max="52" width="9.140625" style="102"/>
    <col min="53" max="53" width="9.140625" style="104"/>
    <col min="54" max="54" width="9.140625" style="105"/>
    <col min="55" max="55" width="13.28515625" style="106" customWidth="1"/>
    <col min="56" max="56" width="9.140625" style="104"/>
    <col min="57" max="57" width="26" style="107" customWidth="1"/>
    <col min="58" max="59" width="16" style="108" bestFit="1" customWidth="1"/>
    <col min="60" max="61" width="9.140625" style="108"/>
    <col min="62" max="16384" width="9.140625" style="102"/>
  </cols>
  <sheetData>
    <row r="1" spans="1:61" ht="36" x14ac:dyDescent="0.5">
      <c r="B1" s="103" t="s">
        <v>3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</row>
    <row r="2" spans="1:61" ht="30.75" x14ac:dyDescent="0.5">
      <c r="B2" s="109" t="s">
        <v>129</v>
      </c>
      <c r="C2" s="109"/>
      <c r="D2" s="109"/>
      <c r="E2" s="109"/>
      <c r="F2" s="109"/>
      <c r="G2" s="109"/>
      <c r="H2" s="109"/>
      <c r="I2" s="110"/>
      <c r="J2" s="111" t="s">
        <v>128</v>
      </c>
      <c r="K2" s="111"/>
      <c r="L2" s="112" t="s">
        <v>157</v>
      </c>
      <c r="M2" s="112"/>
      <c r="N2" s="112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13" t="s">
        <v>151</v>
      </c>
      <c r="AB2" s="114"/>
      <c r="AC2" s="114"/>
      <c r="AD2" s="114"/>
      <c r="AE2" s="114"/>
      <c r="AF2" s="114"/>
      <c r="AG2" s="114"/>
      <c r="AK2" s="232" t="s">
        <v>223</v>
      </c>
      <c r="AL2" s="232"/>
      <c r="AM2" s="232"/>
      <c r="AN2" s="232"/>
      <c r="AR2" s="232" t="s">
        <v>221</v>
      </c>
      <c r="AS2" s="232"/>
      <c r="AT2" s="232"/>
    </row>
    <row r="3" spans="1:61" ht="30.75" x14ac:dyDescent="0.5">
      <c r="B3" s="109" t="s">
        <v>130</v>
      </c>
      <c r="C3" s="109"/>
      <c r="D3" s="109"/>
      <c r="E3" s="109"/>
      <c r="F3" s="109"/>
      <c r="G3" s="109"/>
      <c r="H3" s="109"/>
      <c r="I3" s="110"/>
      <c r="J3" s="115" t="s">
        <v>131</v>
      </c>
      <c r="K3" s="115"/>
      <c r="L3" s="116"/>
      <c r="M3" s="117"/>
      <c r="N3" s="117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13"/>
      <c r="Z3" s="109"/>
      <c r="AA3" s="113" t="s">
        <v>152</v>
      </c>
      <c r="AB3" s="109"/>
      <c r="AC3" s="109"/>
      <c r="AD3" s="109"/>
      <c r="AE3" s="109"/>
      <c r="AF3" s="109"/>
      <c r="AG3" s="109"/>
      <c r="AK3" s="232" t="s">
        <v>222</v>
      </c>
      <c r="AL3" s="232"/>
      <c r="AM3" s="232"/>
      <c r="AN3" s="232"/>
      <c r="AR3" s="233"/>
      <c r="AS3" s="233" t="s">
        <v>222</v>
      </c>
      <c r="AT3" s="233"/>
    </row>
    <row r="4" spans="1:61" ht="24" customHeight="1" x14ac:dyDescent="0.5">
      <c r="B4" s="76" t="s">
        <v>0</v>
      </c>
      <c r="C4" s="79" t="s">
        <v>1</v>
      </c>
      <c r="D4" s="80"/>
      <c r="E4" s="80"/>
      <c r="F4" s="80"/>
      <c r="G4" s="80"/>
      <c r="H4" s="81"/>
      <c r="I4" s="88" t="s">
        <v>62</v>
      </c>
      <c r="J4" s="88"/>
      <c r="K4" s="88"/>
      <c r="L4" s="118" t="s">
        <v>54</v>
      </c>
      <c r="M4" s="119" t="s">
        <v>63</v>
      </c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1"/>
    </row>
    <row r="5" spans="1:61" ht="24" customHeight="1" x14ac:dyDescent="0.5">
      <c r="B5" s="77"/>
      <c r="C5" s="82"/>
      <c r="D5" s="83"/>
      <c r="E5" s="83"/>
      <c r="F5" s="83"/>
      <c r="G5" s="83"/>
      <c r="H5" s="84"/>
      <c r="I5" s="88"/>
      <c r="J5" s="88"/>
      <c r="K5" s="88"/>
      <c r="L5" s="122" t="s">
        <v>55</v>
      </c>
      <c r="M5" s="12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24"/>
    </row>
    <row r="6" spans="1:61" ht="27.75" x14ac:dyDescent="0.5">
      <c r="B6" s="78"/>
      <c r="C6" s="85"/>
      <c r="D6" s="86"/>
      <c r="E6" s="86"/>
      <c r="F6" s="86"/>
      <c r="G6" s="86"/>
      <c r="H6" s="87"/>
      <c r="I6" s="13" t="s">
        <v>57</v>
      </c>
      <c r="J6" s="13" t="s">
        <v>58</v>
      </c>
      <c r="K6" s="13" t="s">
        <v>59</v>
      </c>
      <c r="L6" s="125" t="s">
        <v>56</v>
      </c>
      <c r="M6" s="126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27"/>
      <c r="AI6" s="128" t="s">
        <v>206</v>
      </c>
      <c r="AJ6" s="129"/>
      <c r="AK6" s="129"/>
      <c r="AL6" s="129"/>
      <c r="AM6" s="129"/>
      <c r="AN6" s="130"/>
      <c r="AO6" s="131"/>
      <c r="AP6" s="99" t="s">
        <v>205</v>
      </c>
      <c r="AQ6" s="100"/>
      <c r="AR6" s="100"/>
      <c r="AS6" s="100"/>
      <c r="AT6" s="100"/>
      <c r="AU6" s="100"/>
      <c r="AV6" s="100"/>
      <c r="AW6" s="101"/>
      <c r="AX6" s="131"/>
      <c r="AY6" s="131"/>
      <c r="AZ6" s="131"/>
      <c r="BA6" s="132"/>
      <c r="BC6" s="133"/>
      <c r="BD6" s="132"/>
      <c r="BE6" s="132"/>
      <c r="BF6" s="131"/>
      <c r="BG6" s="131"/>
      <c r="BH6" s="131"/>
      <c r="BI6" s="131"/>
    </row>
    <row r="7" spans="1:61" ht="24" customHeight="1" x14ac:dyDescent="0.5">
      <c r="A7" s="45">
        <v>1</v>
      </c>
      <c r="B7" s="134" t="s">
        <v>3</v>
      </c>
      <c r="C7" s="109"/>
      <c r="D7" s="109"/>
      <c r="E7" s="109"/>
      <c r="F7" s="109"/>
      <c r="G7" s="109"/>
      <c r="H7" s="127"/>
      <c r="I7" s="135">
        <f>MIN(I8:I63)</f>
        <v>243678</v>
      </c>
      <c r="J7" s="135">
        <f>MAX(J8:J63)</f>
        <v>243827</v>
      </c>
      <c r="K7" s="136">
        <f>J7-I7+1</f>
        <v>150</v>
      </c>
      <c r="L7" s="137">
        <f>L8+L11+L17+L26+L37+L41+L49+L57</f>
        <v>2169750.5891249999</v>
      </c>
      <c r="M7" s="126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27"/>
      <c r="AI7" s="138" t="s">
        <v>64</v>
      </c>
      <c r="AJ7" s="139" t="s">
        <v>153</v>
      </c>
      <c r="AK7" s="140">
        <v>55.5</v>
      </c>
      <c r="AL7" s="141">
        <v>55.5</v>
      </c>
      <c r="AM7" s="140">
        <v>0</v>
      </c>
      <c r="AN7" s="141">
        <f>K8+5</f>
        <v>12</v>
      </c>
      <c r="AO7" s="108"/>
      <c r="AP7" s="142"/>
      <c r="AQ7" s="143"/>
      <c r="AR7" s="143" t="s">
        <v>202</v>
      </c>
      <c r="AS7" s="144" t="s">
        <v>203</v>
      </c>
      <c r="AT7" s="143"/>
      <c r="AU7" s="143" t="s">
        <v>204</v>
      </c>
      <c r="AV7" s="143" t="s">
        <v>200</v>
      </c>
      <c r="AW7" s="145" t="s">
        <v>201</v>
      </c>
      <c r="AX7" s="108"/>
      <c r="AY7" s="108"/>
      <c r="AZ7" s="108"/>
      <c r="BA7" s="107"/>
      <c r="BB7" s="227" t="s">
        <v>220</v>
      </c>
      <c r="BC7" s="227"/>
      <c r="BD7" s="227"/>
      <c r="BE7" s="227"/>
      <c r="BF7" s="227"/>
      <c r="BG7" s="227"/>
    </row>
    <row r="8" spans="1:61" x14ac:dyDescent="0.5">
      <c r="A8" s="45">
        <v>2</v>
      </c>
      <c r="B8" s="146">
        <v>1</v>
      </c>
      <c r="C8" s="147" t="s">
        <v>46</v>
      </c>
      <c r="D8" s="147"/>
      <c r="E8" s="147"/>
      <c r="F8" s="148"/>
      <c r="G8" s="148"/>
      <c r="H8" s="149"/>
      <c r="I8" s="150">
        <f>MIN(I9:I10)</f>
        <v>243678</v>
      </c>
      <c r="J8" s="150">
        <f>MAX(J9:J10)</f>
        <v>243684</v>
      </c>
      <c r="K8" s="151">
        <f>J8-I8+1</f>
        <v>7</v>
      </c>
      <c r="L8" s="152">
        <f>SUM(L9:L10)</f>
        <v>133415.568</v>
      </c>
      <c r="M8" s="126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27"/>
      <c r="AI8" s="138" t="s">
        <v>65</v>
      </c>
      <c r="AJ8" s="139" t="s">
        <v>154</v>
      </c>
      <c r="AK8" s="153">
        <v>54.5</v>
      </c>
      <c r="AL8" s="154">
        <f>AL7</f>
        <v>55.5</v>
      </c>
      <c r="AM8" s="153">
        <v>12</v>
      </c>
      <c r="AN8" s="154">
        <v>12</v>
      </c>
      <c r="AO8" s="108"/>
      <c r="AP8" s="203" t="s">
        <v>193</v>
      </c>
      <c r="AQ8" s="202">
        <f>AR8+AR9</f>
        <v>1</v>
      </c>
      <c r="AR8" s="155">
        <f>AS8-AR9</f>
        <v>1.0999999999999899E-3</v>
      </c>
      <c r="AS8" s="156">
        <v>1</v>
      </c>
      <c r="AT8" s="157"/>
      <c r="AU8" s="158">
        <v>20</v>
      </c>
      <c r="AV8" s="159">
        <f t="shared" ref="AV8:AV26" si="0">56*AS8</f>
        <v>56</v>
      </c>
      <c r="AW8" s="160">
        <v>150</v>
      </c>
      <c r="AX8" s="108"/>
      <c r="AY8" s="108"/>
      <c r="AZ8" s="108"/>
      <c r="BA8" s="107"/>
      <c r="BB8" s="228" t="s">
        <v>155</v>
      </c>
      <c r="BC8" s="229">
        <f>AV26</f>
        <v>0.42</v>
      </c>
      <c r="BD8" s="229">
        <f>AW26</f>
        <v>15</v>
      </c>
      <c r="BE8" s="230">
        <f>$AP$31+BD8-1</f>
        <v>243692</v>
      </c>
      <c r="BF8" s="231">
        <f>$K$64*N67</f>
        <v>16273.129418437498</v>
      </c>
      <c r="BG8" s="231">
        <f>$K$64*AQ26</f>
        <v>16273.129418437498</v>
      </c>
    </row>
    <row r="9" spans="1:61" x14ac:dyDescent="0.5">
      <c r="A9" s="45">
        <v>3</v>
      </c>
      <c r="B9" s="161">
        <v>1.1000000000000001</v>
      </c>
      <c r="C9" s="109" t="s">
        <v>4</v>
      </c>
      <c r="D9" s="109"/>
      <c r="E9" s="109"/>
      <c r="F9" s="109"/>
      <c r="G9" s="109"/>
      <c r="H9" s="127"/>
      <c r="I9" s="135">
        <f>AP31</f>
        <v>243678</v>
      </c>
      <c r="J9" s="135">
        <f>I9+1</f>
        <v>243679</v>
      </c>
      <c r="K9" s="136">
        <f>J9-I9+1</f>
        <v>2</v>
      </c>
      <c r="L9" s="162">
        <f>BOQ!N9</f>
        <v>32343.168000000001</v>
      </c>
      <c r="M9" s="126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27"/>
      <c r="AI9" s="138" t="s">
        <v>66</v>
      </c>
      <c r="AJ9" s="139" t="s">
        <v>153</v>
      </c>
      <c r="AK9" s="153">
        <f>AK8</f>
        <v>54.5</v>
      </c>
      <c r="AL9" s="154">
        <f>AK8</f>
        <v>54.5</v>
      </c>
      <c r="AM9" s="153">
        <f>AN9-7</f>
        <v>5</v>
      </c>
      <c r="AN9" s="154">
        <f>AN8</f>
        <v>12</v>
      </c>
      <c r="AO9" s="108"/>
      <c r="AP9" s="203"/>
      <c r="AQ9" s="202"/>
      <c r="AR9" s="155">
        <f>AS9</f>
        <v>0.99890000000000001</v>
      </c>
      <c r="AS9" s="156">
        <v>0.99890000000000001</v>
      </c>
      <c r="AT9" s="157"/>
      <c r="AU9" s="158">
        <v>19</v>
      </c>
      <c r="AV9" s="159">
        <f t="shared" si="0"/>
        <v>55.938400000000001</v>
      </c>
      <c r="AW9" s="160">
        <v>142.5</v>
      </c>
      <c r="AX9" s="108"/>
      <c r="AY9" s="108"/>
      <c r="AZ9" s="108"/>
      <c r="BA9" s="107"/>
      <c r="BB9" s="228" t="s">
        <v>156</v>
      </c>
      <c r="BC9" s="229">
        <f>AV24</f>
        <v>3.1080000000000001</v>
      </c>
      <c r="BD9" s="229">
        <f>AW24</f>
        <v>30</v>
      </c>
      <c r="BE9" s="230">
        <f t="shared" ref="BE9:BE17" si="1">$AP$31+BD9-1</f>
        <v>243707</v>
      </c>
      <c r="BF9" s="231">
        <f>$K$64*P67</f>
        <v>104148.02827799998</v>
      </c>
      <c r="BG9" s="231">
        <f>$K$64*AQ24</f>
        <v>120421.15769643748</v>
      </c>
    </row>
    <row r="10" spans="1:61" x14ac:dyDescent="0.5">
      <c r="A10" s="45">
        <v>4</v>
      </c>
      <c r="B10" s="163">
        <v>1.2</v>
      </c>
      <c r="C10" s="114" t="s">
        <v>5</v>
      </c>
      <c r="D10" s="114"/>
      <c r="E10" s="114"/>
      <c r="F10" s="114"/>
      <c r="G10" s="114"/>
      <c r="H10" s="164"/>
      <c r="I10" s="135">
        <f>J9+1</f>
        <v>243680</v>
      </c>
      <c r="J10" s="135">
        <f>I10+4</f>
        <v>243684</v>
      </c>
      <c r="K10" s="136">
        <f t="shared" ref="K10:K63" si="2">J10-I10+1</f>
        <v>5</v>
      </c>
      <c r="L10" s="162">
        <f>BOQ!N10</f>
        <v>101072.40000000001</v>
      </c>
      <c r="M10" s="126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27"/>
      <c r="AI10" s="138" t="s">
        <v>67</v>
      </c>
      <c r="AJ10" s="139" t="s">
        <v>154</v>
      </c>
      <c r="AK10" s="153">
        <v>52.5</v>
      </c>
      <c r="AL10" s="154">
        <f>AK9</f>
        <v>54.5</v>
      </c>
      <c r="AM10" s="153">
        <f>AM9</f>
        <v>5</v>
      </c>
      <c r="AN10" s="154">
        <f>AM10</f>
        <v>5</v>
      </c>
      <c r="AO10" s="108"/>
      <c r="AP10" s="203" t="s">
        <v>194</v>
      </c>
      <c r="AQ10" s="202">
        <f>AR10+AR11</f>
        <v>0.99529999999999996</v>
      </c>
      <c r="AR10" s="155">
        <f>AS10-AR11</f>
        <v>3.2999999999999696E-3</v>
      </c>
      <c r="AS10" s="156">
        <v>0.99529999999999996</v>
      </c>
      <c r="AT10" s="157"/>
      <c r="AU10" s="158">
        <v>18</v>
      </c>
      <c r="AV10" s="159">
        <f t="shared" si="0"/>
        <v>55.736799999999995</v>
      </c>
      <c r="AW10" s="160">
        <v>135</v>
      </c>
      <c r="AX10" s="108"/>
      <c r="AY10" s="108"/>
      <c r="AZ10" s="108"/>
      <c r="BA10" s="107"/>
      <c r="BB10" s="228" t="s">
        <v>191</v>
      </c>
      <c r="BC10" s="229">
        <f>AV22</f>
        <v>12.32</v>
      </c>
      <c r="BD10" s="229">
        <f>AW22</f>
        <v>45</v>
      </c>
      <c r="BE10" s="230">
        <f t="shared" si="1"/>
        <v>243722</v>
      </c>
      <c r="BF10" s="231">
        <f>$K$64*R67</f>
        <v>356923.97191106249</v>
      </c>
      <c r="BG10" s="231">
        <f>$K$64*AQ22</f>
        <v>477345.12960749998</v>
      </c>
    </row>
    <row r="11" spans="1:61" x14ac:dyDescent="0.5">
      <c r="A11" s="45">
        <v>5</v>
      </c>
      <c r="B11" s="146">
        <v>2</v>
      </c>
      <c r="C11" s="147" t="s">
        <v>47</v>
      </c>
      <c r="D11" s="148"/>
      <c r="E11" s="148"/>
      <c r="F11" s="148"/>
      <c r="G11" s="148"/>
      <c r="H11" s="149"/>
      <c r="I11" s="150">
        <f>MIN(I12:I16)</f>
        <v>243685</v>
      </c>
      <c r="J11" s="150">
        <f>MAX(J12:J16)</f>
        <v>243707</v>
      </c>
      <c r="K11" s="151">
        <f t="shared" si="2"/>
        <v>23</v>
      </c>
      <c r="L11" s="152">
        <f>SUM(L12:L16)</f>
        <v>148051.96850000002</v>
      </c>
      <c r="M11" s="126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27"/>
      <c r="AI11" s="138" t="s">
        <v>68</v>
      </c>
      <c r="AJ11" s="139" t="s">
        <v>153</v>
      </c>
      <c r="AK11" s="153">
        <f>AK10</f>
        <v>52.5</v>
      </c>
      <c r="AL11" s="154">
        <f>AK11</f>
        <v>52.5</v>
      </c>
      <c r="AM11" s="153">
        <f>AM10</f>
        <v>5</v>
      </c>
      <c r="AN11" s="154">
        <f>AM11+2</f>
        <v>7</v>
      </c>
      <c r="AO11" s="108"/>
      <c r="AP11" s="203"/>
      <c r="AQ11" s="202"/>
      <c r="AR11" s="155">
        <f>AS11</f>
        <v>0.99199999999999999</v>
      </c>
      <c r="AS11" s="156">
        <v>0.99199999999999999</v>
      </c>
      <c r="AT11" s="157"/>
      <c r="AU11" s="158">
        <v>17</v>
      </c>
      <c r="AV11" s="159">
        <f t="shared" si="0"/>
        <v>55.552</v>
      </c>
      <c r="AW11" s="160">
        <v>127.5</v>
      </c>
      <c r="AX11" s="108"/>
      <c r="AY11" s="108"/>
      <c r="AZ11" s="108"/>
      <c r="BA11" s="107"/>
      <c r="BB11" s="228" t="s">
        <v>192</v>
      </c>
      <c r="BC11" s="229">
        <f>AV20</f>
        <v>29.12</v>
      </c>
      <c r="BD11" s="229">
        <f>AW20</f>
        <v>60</v>
      </c>
      <c r="BE11" s="230">
        <f t="shared" si="1"/>
        <v>243737</v>
      </c>
      <c r="BF11" s="231">
        <f>$K$64*T67</f>
        <v>650925.17673750012</v>
      </c>
      <c r="BG11" s="231">
        <f>$K$64*AQ20</f>
        <v>1128270.3063449999</v>
      </c>
    </row>
    <row r="12" spans="1:61" x14ac:dyDescent="0.5">
      <c r="A12" s="45">
        <v>6</v>
      </c>
      <c r="B12" s="161">
        <v>2.1</v>
      </c>
      <c r="C12" s="109" t="s">
        <v>6</v>
      </c>
      <c r="D12" s="109"/>
      <c r="E12" s="109"/>
      <c r="F12" s="109"/>
      <c r="G12" s="109"/>
      <c r="H12" s="127"/>
      <c r="I12" s="135">
        <f>J10+1</f>
        <v>243685</v>
      </c>
      <c r="J12" s="135">
        <f>I12+6</f>
        <v>243691</v>
      </c>
      <c r="K12" s="136">
        <f t="shared" si="2"/>
        <v>7</v>
      </c>
      <c r="L12" s="162">
        <f>BOQ!N12</f>
        <v>29700</v>
      </c>
      <c r="M12" s="126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27"/>
      <c r="AI12" s="138" t="s">
        <v>69</v>
      </c>
      <c r="AJ12" s="139" t="s">
        <v>153</v>
      </c>
      <c r="AK12" s="153">
        <f>AK11</f>
        <v>52.5</v>
      </c>
      <c r="AL12" s="154">
        <f>AK12</f>
        <v>52.5</v>
      </c>
      <c r="AM12" s="153">
        <f>AN12+5</f>
        <v>35</v>
      </c>
      <c r="AN12" s="154">
        <f>K8+K11</f>
        <v>30</v>
      </c>
      <c r="AO12" s="108"/>
      <c r="AP12" s="203" t="s">
        <v>195</v>
      </c>
      <c r="AQ12" s="202">
        <f>AR12+AR13</f>
        <v>0.9889</v>
      </c>
      <c r="AR12" s="155">
        <f>AS12-AR13</f>
        <v>1.7000000000000348E-3</v>
      </c>
      <c r="AS12" s="156">
        <v>0.9889</v>
      </c>
      <c r="AT12" s="157"/>
      <c r="AU12" s="158">
        <v>16</v>
      </c>
      <c r="AV12" s="159">
        <f t="shared" si="0"/>
        <v>55.378399999999999</v>
      </c>
      <c r="AW12" s="160">
        <v>120</v>
      </c>
      <c r="AX12" s="108"/>
      <c r="AY12" s="108"/>
      <c r="AZ12" s="108"/>
      <c r="BA12" s="107"/>
      <c r="BB12" s="228" t="s">
        <v>198</v>
      </c>
      <c r="BC12" s="229">
        <f>AV18</f>
        <v>42</v>
      </c>
      <c r="BD12" s="229">
        <f>AW18</f>
        <v>75</v>
      </c>
      <c r="BE12" s="230">
        <f t="shared" si="1"/>
        <v>243752</v>
      </c>
      <c r="BF12" s="231">
        <f>$K$64*V67</f>
        <v>499042.63549874997</v>
      </c>
      <c r="BG12" s="231">
        <f>$K$64*AQ18</f>
        <v>1627312.94184375</v>
      </c>
    </row>
    <row r="13" spans="1:61" ht="24" customHeight="1" x14ac:dyDescent="0.5">
      <c r="A13" s="45">
        <v>7</v>
      </c>
      <c r="B13" s="161">
        <v>2.2000000000000002</v>
      </c>
      <c r="C13" s="109" t="s">
        <v>7</v>
      </c>
      <c r="D13" s="109"/>
      <c r="E13" s="109"/>
      <c r="F13" s="109"/>
      <c r="G13" s="109"/>
      <c r="H13" s="127"/>
      <c r="I13" s="135">
        <f>J12+1</f>
        <v>243692</v>
      </c>
      <c r="J13" s="135">
        <f>I13+6</f>
        <v>243698</v>
      </c>
      <c r="K13" s="136">
        <f t="shared" si="2"/>
        <v>7</v>
      </c>
      <c r="L13" s="162">
        <f>BOQ!N13</f>
        <v>34650</v>
      </c>
      <c r="M13" s="126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27"/>
      <c r="AI13" s="138" t="s">
        <v>70</v>
      </c>
      <c r="AJ13" s="139" t="s">
        <v>154</v>
      </c>
      <c r="AK13" s="153">
        <v>49.5</v>
      </c>
      <c r="AL13" s="154">
        <f>AL12</f>
        <v>52.5</v>
      </c>
      <c r="AM13" s="153">
        <f>AM12</f>
        <v>35</v>
      </c>
      <c r="AN13" s="154">
        <f>AM13</f>
        <v>35</v>
      </c>
      <c r="AO13" s="108"/>
      <c r="AP13" s="203"/>
      <c r="AQ13" s="202"/>
      <c r="AR13" s="155">
        <f>AS13</f>
        <v>0.98719999999999997</v>
      </c>
      <c r="AS13" s="156">
        <v>0.98719999999999997</v>
      </c>
      <c r="AT13" s="157"/>
      <c r="AU13" s="158">
        <v>15</v>
      </c>
      <c r="AV13" s="159">
        <f t="shared" si="0"/>
        <v>55.283200000000001</v>
      </c>
      <c r="AW13" s="160">
        <v>112.5</v>
      </c>
      <c r="AX13" s="108"/>
      <c r="AY13" s="108"/>
      <c r="AZ13" s="108"/>
      <c r="BA13" s="107"/>
      <c r="BB13" s="228" t="s">
        <v>197</v>
      </c>
      <c r="BC13" s="229">
        <f>AV16</f>
        <v>53.199999999999996</v>
      </c>
      <c r="BD13" s="229">
        <f>AW16</f>
        <v>90</v>
      </c>
      <c r="BE13" s="230">
        <f t="shared" si="1"/>
        <v>243767</v>
      </c>
      <c r="BF13" s="231">
        <f>$K$64*X67</f>
        <v>433950.11782499991</v>
      </c>
      <c r="BG13" s="231">
        <f>$K$64*AQ16</f>
        <v>2061263.0596687498</v>
      </c>
    </row>
    <row r="14" spans="1:61" x14ac:dyDescent="0.5">
      <c r="A14" s="45">
        <v>8</v>
      </c>
      <c r="B14" s="161">
        <v>2.2999999999999998</v>
      </c>
      <c r="C14" s="109" t="s">
        <v>8</v>
      </c>
      <c r="D14" s="109"/>
      <c r="E14" s="109"/>
      <c r="F14" s="109"/>
      <c r="G14" s="109"/>
      <c r="H14" s="127"/>
      <c r="I14" s="135">
        <f>I13</f>
        <v>243692</v>
      </c>
      <c r="J14" s="135">
        <f>I14+9</f>
        <v>243701</v>
      </c>
      <c r="K14" s="136">
        <f t="shared" si="2"/>
        <v>10</v>
      </c>
      <c r="L14" s="162">
        <f>BOQ!N16</f>
        <v>22863.851999999999</v>
      </c>
      <c r="M14" s="126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27"/>
      <c r="AI14" s="138" t="s">
        <v>71</v>
      </c>
      <c r="AJ14" s="139" t="s">
        <v>153</v>
      </c>
      <c r="AK14" s="153">
        <f>AK13</f>
        <v>49.5</v>
      </c>
      <c r="AL14" s="154">
        <f>AK14</f>
        <v>49.5</v>
      </c>
      <c r="AM14" s="153">
        <f>AM13</f>
        <v>35</v>
      </c>
      <c r="AN14" s="154">
        <f>AM14-9</f>
        <v>26</v>
      </c>
      <c r="AO14" s="108"/>
      <c r="AP14" s="203" t="s">
        <v>196</v>
      </c>
      <c r="AQ14" s="202">
        <f>AR14+AR15</f>
        <v>0.98499999999999999</v>
      </c>
      <c r="AR14" s="155">
        <f>AS14-AR15</f>
        <v>8.0000000000000071E-3</v>
      </c>
      <c r="AS14" s="156">
        <v>0.98499999999999999</v>
      </c>
      <c r="AT14" s="157"/>
      <c r="AU14" s="158">
        <v>14</v>
      </c>
      <c r="AV14" s="159">
        <f t="shared" si="0"/>
        <v>55.16</v>
      </c>
      <c r="AW14" s="160">
        <v>105</v>
      </c>
      <c r="AX14" s="108"/>
      <c r="AY14" s="108"/>
      <c r="AZ14" s="108"/>
      <c r="BA14" s="107"/>
      <c r="BB14" s="228" t="s">
        <v>196</v>
      </c>
      <c r="BC14" s="229">
        <f>AV14</f>
        <v>55.16</v>
      </c>
      <c r="BD14" s="229">
        <f>AW14</f>
        <v>105</v>
      </c>
      <c r="BE14" s="230">
        <f t="shared" si="1"/>
        <v>243782</v>
      </c>
      <c r="BF14" s="231">
        <f>$K$64*Z67</f>
        <v>75941.270619375064</v>
      </c>
      <c r="BG14" s="231">
        <f>$K$64*AQ14</f>
        <v>2137204.3302881247</v>
      </c>
    </row>
    <row r="15" spans="1:61" x14ac:dyDescent="0.5">
      <c r="A15" s="45">
        <v>9</v>
      </c>
      <c r="B15" s="161">
        <v>2.4</v>
      </c>
      <c r="C15" s="109" t="s">
        <v>9</v>
      </c>
      <c r="D15" s="109"/>
      <c r="E15" s="109"/>
      <c r="F15" s="109"/>
      <c r="G15" s="109"/>
      <c r="H15" s="127"/>
      <c r="I15" s="135">
        <f>J14-5</f>
        <v>243696</v>
      </c>
      <c r="J15" s="135">
        <f>I15+9</f>
        <v>243705</v>
      </c>
      <c r="K15" s="136">
        <f t="shared" si="2"/>
        <v>10</v>
      </c>
      <c r="L15" s="162">
        <f>BOQ!N23</f>
        <v>25743.516500000002</v>
      </c>
      <c r="M15" s="126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27"/>
      <c r="AI15" s="138" t="s">
        <v>72</v>
      </c>
      <c r="AJ15" s="139" t="s">
        <v>153</v>
      </c>
      <c r="AK15" s="153">
        <v>46.5</v>
      </c>
      <c r="AL15" s="154">
        <f>AL14</f>
        <v>49.5</v>
      </c>
      <c r="AM15" s="153">
        <f>AN14</f>
        <v>26</v>
      </c>
      <c r="AN15" s="154">
        <f>AM15</f>
        <v>26</v>
      </c>
      <c r="AO15" s="108"/>
      <c r="AP15" s="203"/>
      <c r="AQ15" s="202"/>
      <c r="AR15" s="155">
        <f>AS15</f>
        <v>0.97699999999999998</v>
      </c>
      <c r="AS15" s="156">
        <v>0.97699999999999998</v>
      </c>
      <c r="AT15" s="157"/>
      <c r="AU15" s="158">
        <v>13</v>
      </c>
      <c r="AV15" s="159">
        <f t="shared" si="0"/>
        <v>54.711999999999996</v>
      </c>
      <c r="AW15" s="160">
        <v>97.5</v>
      </c>
      <c r="AX15" s="108"/>
      <c r="AY15" s="108"/>
      <c r="AZ15" s="108"/>
      <c r="BA15" s="107"/>
      <c r="BB15" s="228" t="s">
        <v>195</v>
      </c>
      <c r="BC15" s="229">
        <f>AV12</f>
        <v>55.378399999999999</v>
      </c>
      <c r="BD15" s="229">
        <f>AW12</f>
        <v>120</v>
      </c>
      <c r="BE15" s="230">
        <f t="shared" si="1"/>
        <v>243797</v>
      </c>
      <c r="BF15" s="231">
        <f>$K$64*AB67</f>
        <v>8462.0272975875305</v>
      </c>
      <c r="BG15" s="231">
        <f>$K$64*AQ12</f>
        <v>2145666.3575857123</v>
      </c>
    </row>
    <row r="16" spans="1:61" x14ac:dyDescent="0.5">
      <c r="A16" s="45">
        <v>10</v>
      </c>
      <c r="B16" s="163">
        <v>2.5</v>
      </c>
      <c r="C16" s="114" t="s">
        <v>10</v>
      </c>
      <c r="D16" s="114"/>
      <c r="E16" s="114"/>
      <c r="F16" s="114"/>
      <c r="G16" s="114"/>
      <c r="H16" s="164"/>
      <c r="I16" s="135">
        <f>J15-8</f>
        <v>243697</v>
      </c>
      <c r="J16" s="135">
        <f>I16+10</f>
        <v>243707</v>
      </c>
      <c r="K16" s="136">
        <f t="shared" si="2"/>
        <v>11</v>
      </c>
      <c r="L16" s="162">
        <f>BOQ!N26</f>
        <v>35094.600000000006</v>
      </c>
      <c r="M16" s="126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27"/>
      <c r="AI16" s="138" t="s">
        <v>73</v>
      </c>
      <c r="AJ16" s="139" t="s">
        <v>154</v>
      </c>
      <c r="AK16" s="153">
        <f>AK15</f>
        <v>46.5</v>
      </c>
      <c r="AL16" s="154">
        <f>AK16</f>
        <v>46.5</v>
      </c>
      <c r="AM16" s="153">
        <v>31</v>
      </c>
      <c r="AN16" s="154">
        <f>AN15</f>
        <v>26</v>
      </c>
      <c r="AO16" s="108"/>
      <c r="AP16" s="203" t="s">
        <v>197</v>
      </c>
      <c r="AQ16" s="202">
        <f>AR16+AR17</f>
        <v>0.95</v>
      </c>
      <c r="AR16" s="155">
        <f>AS16-AR17</f>
        <v>5.9999999999999942E-2</v>
      </c>
      <c r="AS16" s="156">
        <v>0.95</v>
      </c>
      <c r="AT16" s="157"/>
      <c r="AU16" s="158">
        <v>12</v>
      </c>
      <c r="AV16" s="159">
        <f t="shared" si="0"/>
        <v>53.199999999999996</v>
      </c>
      <c r="AW16" s="160">
        <v>90</v>
      </c>
      <c r="AX16" s="108"/>
      <c r="AY16" s="108"/>
      <c r="AZ16" s="108"/>
      <c r="BA16" s="107"/>
      <c r="BB16" s="228" t="s">
        <v>194</v>
      </c>
      <c r="BC16" s="229">
        <f>AV10</f>
        <v>55.736799999999995</v>
      </c>
      <c r="BD16" s="229">
        <f>AW10</f>
        <v>135</v>
      </c>
      <c r="BE16" s="230">
        <f t="shared" si="1"/>
        <v>243812</v>
      </c>
      <c r="BF16" s="231">
        <f>$K$64*AD67</f>
        <v>13886.403770399915</v>
      </c>
      <c r="BG16" s="231">
        <f>$K$64*AQ10</f>
        <v>2159552.7613561125</v>
      </c>
    </row>
    <row r="17" spans="1:59" x14ac:dyDescent="0.5">
      <c r="A17" s="45">
        <v>11</v>
      </c>
      <c r="B17" s="146">
        <v>3</v>
      </c>
      <c r="C17" s="147" t="s">
        <v>48</v>
      </c>
      <c r="D17" s="148"/>
      <c r="E17" s="148"/>
      <c r="F17" s="148"/>
      <c r="G17" s="148"/>
      <c r="H17" s="149"/>
      <c r="I17" s="150">
        <f>MIN(I18:I25)</f>
        <v>243708</v>
      </c>
      <c r="J17" s="150">
        <f>MAX(J18:J25)</f>
        <v>243733</v>
      </c>
      <c r="K17" s="151">
        <f t="shared" si="2"/>
        <v>26</v>
      </c>
      <c r="L17" s="152">
        <f>SUM(L18:L25)</f>
        <v>440470.95199999999</v>
      </c>
      <c r="M17" s="126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27"/>
      <c r="AI17" s="138" t="s">
        <v>74</v>
      </c>
      <c r="AJ17" s="139" t="s">
        <v>153</v>
      </c>
      <c r="AK17" s="153">
        <v>46.5</v>
      </c>
      <c r="AL17" s="154">
        <v>46.5</v>
      </c>
      <c r="AM17" s="153">
        <f>AM16+K17</f>
        <v>57</v>
      </c>
      <c r="AN17" s="154">
        <f>AM17+10</f>
        <v>67</v>
      </c>
      <c r="AO17" s="108"/>
      <c r="AP17" s="203"/>
      <c r="AQ17" s="202"/>
      <c r="AR17" s="155">
        <f>AS17</f>
        <v>0.89</v>
      </c>
      <c r="AS17" s="156">
        <v>0.89</v>
      </c>
      <c r="AT17" s="157"/>
      <c r="AU17" s="158">
        <v>11</v>
      </c>
      <c r="AV17" s="159">
        <f t="shared" si="0"/>
        <v>49.84</v>
      </c>
      <c r="AW17" s="160">
        <v>82.5</v>
      </c>
      <c r="AX17" s="108"/>
      <c r="AY17" s="108"/>
      <c r="AZ17" s="108"/>
      <c r="BA17" s="107"/>
      <c r="BB17" s="228" t="s">
        <v>193</v>
      </c>
      <c r="BC17" s="229">
        <f>AV8</f>
        <v>56</v>
      </c>
      <c r="BD17" s="229">
        <f>AW8</f>
        <v>150</v>
      </c>
      <c r="BE17" s="230">
        <f t="shared" si="1"/>
        <v>243827</v>
      </c>
      <c r="BF17" s="231">
        <f>$K$64*AF67</f>
        <v>10197.827768887581</v>
      </c>
      <c r="BG17" s="231">
        <f>$K$64*AQ8</f>
        <v>2169750.5891249999</v>
      </c>
    </row>
    <row r="18" spans="1:59" x14ac:dyDescent="0.5">
      <c r="A18" s="45">
        <v>12</v>
      </c>
      <c r="B18" s="161">
        <v>3.1</v>
      </c>
      <c r="C18" s="109" t="s">
        <v>11</v>
      </c>
      <c r="D18" s="109"/>
      <c r="E18" s="109"/>
      <c r="F18" s="109"/>
      <c r="G18" s="109"/>
      <c r="H18" s="127"/>
      <c r="I18" s="135">
        <f>J16+1</f>
        <v>243708</v>
      </c>
      <c r="J18" s="135">
        <f>I18+4</f>
        <v>243712</v>
      </c>
      <c r="K18" s="136">
        <f t="shared" si="2"/>
        <v>5</v>
      </c>
      <c r="L18" s="162">
        <f>BOQ!N32</f>
        <v>229882.32</v>
      </c>
      <c r="M18" s="126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27"/>
      <c r="AI18" s="138" t="s">
        <v>75</v>
      </c>
      <c r="AJ18" s="139" t="s">
        <v>154</v>
      </c>
      <c r="AK18" s="153">
        <v>42</v>
      </c>
      <c r="AL18" s="154">
        <f>AL17</f>
        <v>46.5</v>
      </c>
      <c r="AM18" s="153">
        <f>AN17</f>
        <v>67</v>
      </c>
      <c r="AN18" s="154">
        <f>AN17</f>
        <v>67</v>
      </c>
      <c r="AO18" s="108"/>
      <c r="AP18" s="203" t="s">
        <v>198</v>
      </c>
      <c r="AQ18" s="202">
        <f>AR18+AR19</f>
        <v>0.75</v>
      </c>
      <c r="AR18" s="155">
        <f>AS18-AR19</f>
        <v>8.9999999999999969E-2</v>
      </c>
      <c r="AS18" s="156">
        <v>0.75</v>
      </c>
      <c r="AT18" s="157"/>
      <c r="AU18" s="158">
        <v>10</v>
      </c>
      <c r="AV18" s="159">
        <f t="shared" si="0"/>
        <v>42</v>
      </c>
      <c r="AW18" s="160">
        <v>75</v>
      </c>
      <c r="AX18" s="108"/>
      <c r="AY18" s="108"/>
      <c r="AZ18" s="108"/>
      <c r="BA18" s="107"/>
      <c r="BC18" s="133"/>
      <c r="BD18" s="107"/>
    </row>
    <row r="19" spans="1:59" ht="24" customHeight="1" x14ac:dyDescent="0.5">
      <c r="A19" s="45">
        <v>13</v>
      </c>
      <c r="B19" s="161">
        <v>3.2</v>
      </c>
      <c r="C19" s="109" t="s">
        <v>12</v>
      </c>
      <c r="D19" s="109"/>
      <c r="E19" s="109"/>
      <c r="F19" s="109"/>
      <c r="G19" s="109"/>
      <c r="H19" s="127"/>
      <c r="I19" s="135">
        <f>J18-1</f>
        <v>243711</v>
      </c>
      <c r="J19" s="135">
        <f>I19+1</f>
        <v>243712</v>
      </c>
      <c r="K19" s="136">
        <f t="shared" si="2"/>
        <v>2</v>
      </c>
      <c r="L19" s="162">
        <f>BOQ!N40</f>
        <v>5760.0000000000009</v>
      </c>
      <c r="M19" s="126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27"/>
      <c r="AI19" s="138" t="s">
        <v>76</v>
      </c>
      <c r="AJ19" s="139" t="s">
        <v>153</v>
      </c>
      <c r="AK19" s="153">
        <f>AK18</f>
        <v>42</v>
      </c>
      <c r="AL19" s="154">
        <f>AK19</f>
        <v>42</v>
      </c>
      <c r="AM19" s="153">
        <f>AN19-15</f>
        <v>52</v>
      </c>
      <c r="AN19" s="154">
        <f>AN18</f>
        <v>67</v>
      </c>
      <c r="AO19" s="108"/>
      <c r="AP19" s="203"/>
      <c r="AQ19" s="202"/>
      <c r="AR19" s="155">
        <f>AS19</f>
        <v>0.66</v>
      </c>
      <c r="AS19" s="156">
        <v>0.66</v>
      </c>
      <c r="AT19" s="157"/>
      <c r="AU19" s="158">
        <v>9</v>
      </c>
      <c r="AV19" s="159">
        <f t="shared" si="0"/>
        <v>36.96</v>
      </c>
      <c r="AW19" s="160">
        <v>67.5</v>
      </c>
      <c r="AX19" s="108"/>
      <c r="AY19" s="108"/>
      <c r="AZ19" s="108"/>
      <c r="BA19" s="107"/>
      <c r="BC19" s="133"/>
      <c r="BD19" s="107"/>
    </row>
    <row r="20" spans="1:59" x14ac:dyDescent="0.5">
      <c r="A20" s="45">
        <v>14</v>
      </c>
      <c r="B20" s="161">
        <v>3.3</v>
      </c>
      <c r="C20" s="109" t="s">
        <v>20</v>
      </c>
      <c r="D20" s="109"/>
      <c r="E20" s="109"/>
      <c r="F20" s="109"/>
      <c r="G20" s="109"/>
      <c r="H20" s="127"/>
      <c r="I20" s="135">
        <f>J19+1</f>
        <v>243713</v>
      </c>
      <c r="J20" s="135">
        <f>I20+2</f>
        <v>243715</v>
      </c>
      <c r="K20" s="136">
        <f t="shared" si="2"/>
        <v>3</v>
      </c>
      <c r="L20" s="162">
        <f>BOQ!N41</f>
        <v>27720</v>
      </c>
      <c r="M20" s="126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27"/>
      <c r="AI20" s="138" t="s">
        <v>77</v>
      </c>
      <c r="AJ20" s="139" t="s">
        <v>153</v>
      </c>
      <c r="AK20" s="153">
        <v>37.5</v>
      </c>
      <c r="AL20" s="154">
        <f>AL19</f>
        <v>42</v>
      </c>
      <c r="AM20" s="153">
        <f>AM19</f>
        <v>52</v>
      </c>
      <c r="AN20" s="154">
        <f>AM20</f>
        <v>52</v>
      </c>
      <c r="AO20" s="108"/>
      <c r="AP20" s="203" t="s">
        <v>192</v>
      </c>
      <c r="AQ20" s="202">
        <f>AR20+AR21</f>
        <v>0.52</v>
      </c>
      <c r="AR20" s="155">
        <f>AS20-AR21</f>
        <v>0.17000000000000004</v>
      </c>
      <c r="AS20" s="156">
        <v>0.52</v>
      </c>
      <c r="AT20" s="157"/>
      <c r="AU20" s="158">
        <v>8</v>
      </c>
      <c r="AV20" s="159">
        <f t="shared" si="0"/>
        <v>29.12</v>
      </c>
      <c r="AW20" s="160">
        <v>60</v>
      </c>
      <c r="AX20" s="108"/>
      <c r="AY20" s="108"/>
      <c r="AZ20" s="108"/>
      <c r="BA20" s="107"/>
      <c r="BC20" s="133"/>
      <c r="BD20" s="107"/>
    </row>
    <row r="21" spans="1:59" x14ac:dyDescent="0.5">
      <c r="A21" s="45">
        <v>15</v>
      </c>
      <c r="B21" s="161">
        <v>3.4</v>
      </c>
      <c r="C21" s="109" t="s">
        <v>13</v>
      </c>
      <c r="D21" s="109"/>
      <c r="E21" s="109"/>
      <c r="F21" s="109"/>
      <c r="G21" s="109"/>
      <c r="H21" s="127"/>
      <c r="I21" s="135">
        <f>J20+1</f>
        <v>243716</v>
      </c>
      <c r="J21" s="135">
        <f>I21</f>
        <v>243716</v>
      </c>
      <c r="K21" s="136">
        <f t="shared" si="2"/>
        <v>1</v>
      </c>
      <c r="L21" s="162">
        <f>BOQ!N42</f>
        <v>52800</v>
      </c>
      <c r="M21" s="126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27"/>
      <c r="AI21" s="138" t="s">
        <v>78</v>
      </c>
      <c r="AJ21" s="139" t="s">
        <v>154</v>
      </c>
      <c r="AK21" s="153">
        <f>AK20</f>
        <v>37.5</v>
      </c>
      <c r="AL21" s="154">
        <f>AK21</f>
        <v>37.5</v>
      </c>
      <c r="AM21" s="153">
        <f>AM20</f>
        <v>52</v>
      </c>
      <c r="AN21" s="154">
        <f>AM21+7</f>
        <v>59</v>
      </c>
      <c r="AO21" s="108"/>
      <c r="AP21" s="203"/>
      <c r="AQ21" s="202"/>
      <c r="AR21" s="155">
        <f>AS21</f>
        <v>0.35</v>
      </c>
      <c r="AS21" s="156">
        <v>0.35</v>
      </c>
      <c r="AT21" s="157"/>
      <c r="AU21" s="158">
        <v>7</v>
      </c>
      <c r="AV21" s="159">
        <f t="shared" si="0"/>
        <v>19.599999999999998</v>
      </c>
      <c r="AW21" s="160">
        <v>52.5</v>
      </c>
      <c r="AX21" s="108"/>
      <c r="AY21" s="108"/>
      <c r="AZ21" s="108"/>
      <c r="BA21" s="107"/>
      <c r="BC21" s="133"/>
      <c r="BD21" s="107"/>
    </row>
    <row r="22" spans="1:59" x14ac:dyDescent="0.5">
      <c r="A22" s="45">
        <v>16</v>
      </c>
      <c r="B22" s="161">
        <v>3.5</v>
      </c>
      <c r="C22" s="109" t="s">
        <v>60</v>
      </c>
      <c r="D22" s="109"/>
      <c r="E22" s="109"/>
      <c r="F22" s="109"/>
      <c r="G22" s="109"/>
      <c r="H22" s="127"/>
      <c r="I22" s="135">
        <f>J21+1</f>
        <v>243717</v>
      </c>
      <c r="J22" s="135">
        <f>I22+3</f>
        <v>243720</v>
      </c>
      <c r="K22" s="136">
        <f t="shared" si="2"/>
        <v>4</v>
      </c>
      <c r="L22" s="162">
        <f>BOQ!N43</f>
        <v>2592.0000000000005</v>
      </c>
      <c r="M22" s="126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27"/>
      <c r="AI22" s="138" t="s">
        <v>79</v>
      </c>
      <c r="AJ22" s="139" t="s">
        <v>153</v>
      </c>
      <c r="AK22" s="153">
        <v>37.5</v>
      </c>
      <c r="AL22" s="154">
        <v>37.5</v>
      </c>
      <c r="AM22" s="153">
        <f>AM21+K26</f>
        <v>85</v>
      </c>
      <c r="AN22" s="154">
        <f>AM22+10</f>
        <v>95</v>
      </c>
      <c r="AO22" s="108"/>
      <c r="AP22" s="203" t="s">
        <v>191</v>
      </c>
      <c r="AQ22" s="202">
        <f>AR22+AR23</f>
        <v>0.22</v>
      </c>
      <c r="AR22" s="155">
        <f>AS22-AR23</f>
        <v>9.6000000000000002E-2</v>
      </c>
      <c r="AS22" s="156">
        <v>0.22</v>
      </c>
      <c r="AT22" s="157"/>
      <c r="AU22" s="158">
        <v>6</v>
      </c>
      <c r="AV22" s="159">
        <f t="shared" si="0"/>
        <v>12.32</v>
      </c>
      <c r="AW22" s="160">
        <v>45</v>
      </c>
      <c r="AX22" s="108"/>
      <c r="AY22" s="108"/>
      <c r="AZ22" s="108"/>
      <c r="BA22" s="107"/>
      <c r="BC22" s="133"/>
      <c r="BD22" s="107"/>
    </row>
    <row r="23" spans="1:59" x14ac:dyDescent="0.5">
      <c r="A23" s="45">
        <v>17</v>
      </c>
      <c r="B23" s="161">
        <v>3.6</v>
      </c>
      <c r="C23" s="109" t="s">
        <v>24</v>
      </c>
      <c r="D23" s="109"/>
      <c r="E23" s="109"/>
      <c r="F23" s="109"/>
      <c r="G23" s="109"/>
      <c r="H23" s="127"/>
      <c r="I23" s="135">
        <f>J22+1</f>
        <v>243721</v>
      </c>
      <c r="J23" s="135">
        <f>I23+3</f>
        <v>243724</v>
      </c>
      <c r="K23" s="136">
        <f t="shared" si="2"/>
        <v>4</v>
      </c>
      <c r="L23" s="162">
        <f>BOQ!N44</f>
        <v>75416</v>
      </c>
      <c r="M23" s="126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27"/>
      <c r="AI23" s="138" t="s">
        <v>80</v>
      </c>
      <c r="AJ23" s="139" t="s">
        <v>153</v>
      </c>
      <c r="AK23" s="153">
        <v>32</v>
      </c>
      <c r="AL23" s="154">
        <f>AL22</f>
        <v>37.5</v>
      </c>
      <c r="AM23" s="153">
        <f>AN22</f>
        <v>95</v>
      </c>
      <c r="AN23" s="154">
        <f>AN22</f>
        <v>95</v>
      </c>
      <c r="AO23" s="108"/>
      <c r="AP23" s="203"/>
      <c r="AQ23" s="202"/>
      <c r="AR23" s="155">
        <f>AS23</f>
        <v>0.124</v>
      </c>
      <c r="AS23" s="156">
        <v>0.124</v>
      </c>
      <c r="AT23" s="157"/>
      <c r="AU23" s="158">
        <v>5</v>
      </c>
      <c r="AV23" s="159">
        <f t="shared" si="0"/>
        <v>6.944</v>
      </c>
      <c r="AW23" s="160">
        <v>37.5</v>
      </c>
      <c r="AX23" s="108"/>
      <c r="AY23" s="108"/>
      <c r="AZ23" s="108"/>
      <c r="BA23" s="107"/>
      <c r="BC23" s="133"/>
      <c r="BD23" s="107"/>
    </row>
    <row r="24" spans="1:59" x14ac:dyDescent="0.5">
      <c r="A24" s="45">
        <v>18</v>
      </c>
      <c r="B24" s="161">
        <v>3.7</v>
      </c>
      <c r="C24" s="109" t="s">
        <v>14</v>
      </c>
      <c r="D24" s="109"/>
      <c r="E24" s="109"/>
      <c r="F24" s="109"/>
      <c r="G24" s="109"/>
      <c r="H24" s="127"/>
      <c r="I24" s="135">
        <f>J23+1</f>
        <v>243725</v>
      </c>
      <c r="J24" s="135">
        <f>I24+6</f>
        <v>243731</v>
      </c>
      <c r="K24" s="136">
        <f t="shared" si="2"/>
        <v>7</v>
      </c>
      <c r="L24" s="162">
        <f>BOQ!N48</f>
        <v>26125.632000000005</v>
      </c>
      <c r="M24" s="126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27"/>
      <c r="AI24" s="138" t="s">
        <v>81</v>
      </c>
      <c r="AJ24" s="139" t="s">
        <v>154</v>
      </c>
      <c r="AK24" s="153">
        <f>AK23</f>
        <v>32</v>
      </c>
      <c r="AL24" s="154">
        <f>AK23</f>
        <v>32</v>
      </c>
      <c r="AM24" s="153">
        <v>84</v>
      </c>
      <c r="AN24" s="154">
        <v>95</v>
      </c>
      <c r="AO24" s="108"/>
      <c r="AP24" s="203" t="s">
        <v>156</v>
      </c>
      <c r="AQ24" s="202">
        <f>AR24+AR25</f>
        <v>5.5499999999999994E-2</v>
      </c>
      <c r="AR24" s="155">
        <f>AS24-AR25</f>
        <v>4.2999999999999997E-2</v>
      </c>
      <c r="AS24" s="156">
        <v>5.5500000000000001E-2</v>
      </c>
      <c r="AT24" s="157"/>
      <c r="AU24" s="158">
        <v>4</v>
      </c>
      <c r="AV24" s="159">
        <f t="shared" si="0"/>
        <v>3.1080000000000001</v>
      </c>
      <c r="AW24" s="160">
        <v>30</v>
      </c>
      <c r="AX24" s="108"/>
      <c r="AY24" s="108"/>
      <c r="AZ24" s="108"/>
      <c r="BA24" s="107"/>
      <c r="BC24" s="133"/>
      <c r="BD24" s="107"/>
    </row>
    <row r="25" spans="1:59" ht="24" customHeight="1" x14ac:dyDescent="0.5">
      <c r="A25" s="45">
        <v>19</v>
      </c>
      <c r="B25" s="163">
        <v>3.8</v>
      </c>
      <c r="C25" s="114" t="s">
        <v>15</v>
      </c>
      <c r="D25" s="114"/>
      <c r="E25" s="114"/>
      <c r="F25" s="114"/>
      <c r="G25" s="114"/>
      <c r="H25" s="164"/>
      <c r="I25" s="135">
        <f>J24-4</f>
        <v>243727</v>
      </c>
      <c r="J25" s="135">
        <f>I25+6</f>
        <v>243733</v>
      </c>
      <c r="K25" s="136">
        <f t="shared" si="2"/>
        <v>7</v>
      </c>
      <c r="L25" s="162">
        <f>BOQ!N51</f>
        <v>20175</v>
      </c>
      <c r="M25" s="126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27"/>
      <c r="AI25" s="138" t="s">
        <v>82</v>
      </c>
      <c r="AJ25" s="139" t="s">
        <v>153</v>
      </c>
      <c r="AK25" s="153">
        <v>26.55</v>
      </c>
      <c r="AL25" s="154">
        <f>AL24</f>
        <v>32</v>
      </c>
      <c r="AM25" s="153">
        <f>AM24</f>
        <v>84</v>
      </c>
      <c r="AN25" s="154">
        <f>AM24</f>
        <v>84</v>
      </c>
      <c r="AO25" s="108"/>
      <c r="AP25" s="203"/>
      <c r="AQ25" s="202"/>
      <c r="AR25" s="155">
        <f>AS25</f>
        <v>1.2500000000000001E-2</v>
      </c>
      <c r="AS25" s="156">
        <v>1.2500000000000001E-2</v>
      </c>
      <c r="AT25" s="157"/>
      <c r="AU25" s="158">
        <v>3</v>
      </c>
      <c r="AV25" s="159">
        <f t="shared" si="0"/>
        <v>0.70000000000000007</v>
      </c>
      <c r="AW25" s="160">
        <v>22.5</v>
      </c>
      <c r="AX25" s="108"/>
      <c r="AY25" s="108"/>
      <c r="AZ25" s="108"/>
      <c r="BA25" s="107"/>
      <c r="BC25" s="133"/>
      <c r="BD25" s="107"/>
    </row>
    <row r="26" spans="1:59" x14ac:dyDescent="0.5">
      <c r="A26" s="45">
        <v>20</v>
      </c>
      <c r="B26" s="146">
        <v>4</v>
      </c>
      <c r="C26" s="147" t="s">
        <v>49</v>
      </c>
      <c r="D26" s="148"/>
      <c r="E26" s="148"/>
      <c r="F26" s="148"/>
      <c r="G26" s="148"/>
      <c r="H26" s="149"/>
      <c r="I26" s="150">
        <f>MIN(I27:I36)</f>
        <v>243734</v>
      </c>
      <c r="J26" s="150">
        <f>MAX(J27:J36)</f>
        <v>243766</v>
      </c>
      <c r="K26" s="151">
        <f t="shared" si="2"/>
        <v>33</v>
      </c>
      <c r="L26" s="152">
        <f>SUM(L27:L36)</f>
        <v>524744.37</v>
      </c>
      <c r="M26" s="126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27"/>
      <c r="AI26" s="138" t="s">
        <v>83</v>
      </c>
      <c r="AJ26" s="139" t="s">
        <v>154</v>
      </c>
      <c r="AK26" s="153">
        <f>AK25</f>
        <v>26.55</v>
      </c>
      <c r="AL26" s="154">
        <f>AK25</f>
        <v>26.55</v>
      </c>
      <c r="AM26" s="153">
        <v>84</v>
      </c>
      <c r="AN26" s="154">
        <v>94</v>
      </c>
      <c r="AO26" s="108"/>
      <c r="AP26" s="203" t="s">
        <v>155</v>
      </c>
      <c r="AQ26" s="202">
        <f>AR26+AR27</f>
        <v>7.4999999999999997E-3</v>
      </c>
      <c r="AR26" s="155">
        <f>AS26-AR27</f>
        <v>3.0000000000000001E-3</v>
      </c>
      <c r="AS26" s="156">
        <v>7.4999999999999997E-3</v>
      </c>
      <c r="AT26" s="157"/>
      <c r="AU26" s="158">
        <v>2</v>
      </c>
      <c r="AV26" s="159">
        <f t="shared" si="0"/>
        <v>0.42</v>
      </c>
      <c r="AW26" s="160">
        <v>15</v>
      </c>
      <c r="AX26" s="108"/>
      <c r="AY26" s="108"/>
      <c r="AZ26" s="108"/>
      <c r="BA26" s="107"/>
      <c r="BC26" s="133"/>
      <c r="BD26" s="107"/>
    </row>
    <row r="27" spans="1:59" x14ac:dyDescent="0.5">
      <c r="A27" s="45">
        <v>21</v>
      </c>
      <c r="B27" s="161">
        <v>4.0999999999999996</v>
      </c>
      <c r="C27" s="109" t="s">
        <v>17</v>
      </c>
      <c r="D27" s="109"/>
      <c r="E27" s="109"/>
      <c r="F27" s="109"/>
      <c r="G27" s="109"/>
      <c r="H27" s="127"/>
      <c r="I27" s="135">
        <f>J25+1</f>
        <v>243734</v>
      </c>
      <c r="J27" s="135">
        <f>I27+1</f>
        <v>243735</v>
      </c>
      <c r="K27" s="136">
        <f t="shared" si="2"/>
        <v>2</v>
      </c>
      <c r="L27" s="162">
        <f>BOQ!N55</f>
        <v>44100</v>
      </c>
      <c r="M27" s="126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27"/>
      <c r="AI27" s="138" t="s">
        <v>84</v>
      </c>
      <c r="AJ27" s="139" t="s">
        <v>153</v>
      </c>
      <c r="AK27" s="153">
        <f>AK26-0.15</f>
        <v>26.400000000000002</v>
      </c>
      <c r="AL27" s="154">
        <f>AL26-0.15</f>
        <v>26.400000000000002</v>
      </c>
      <c r="AM27" s="153">
        <f>AM26</f>
        <v>84</v>
      </c>
      <c r="AN27" s="154">
        <f>AN26</f>
        <v>94</v>
      </c>
      <c r="AO27" s="108"/>
      <c r="AP27" s="203"/>
      <c r="AQ27" s="202"/>
      <c r="AR27" s="155">
        <f>AS27</f>
        <v>4.4999999999999997E-3</v>
      </c>
      <c r="AS27" s="156">
        <v>4.4999999999999997E-3</v>
      </c>
      <c r="AT27" s="157"/>
      <c r="AU27" s="158">
        <v>1</v>
      </c>
      <c r="AV27" s="159">
        <f>56*AS27</f>
        <v>0.252</v>
      </c>
      <c r="AW27" s="160">
        <v>7.5</v>
      </c>
      <c r="AX27" s="108"/>
      <c r="AY27" s="108"/>
      <c r="AZ27" s="108"/>
      <c r="BA27" s="107"/>
      <c r="BC27" s="133"/>
      <c r="BD27" s="107"/>
    </row>
    <row r="28" spans="1:59" x14ac:dyDescent="0.5">
      <c r="A28" s="45">
        <v>22</v>
      </c>
      <c r="B28" s="161">
        <v>4.2</v>
      </c>
      <c r="C28" s="109" t="s">
        <v>16</v>
      </c>
      <c r="D28" s="109"/>
      <c r="E28" s="109"/>
      <c r="F28" s="109"/>
      <c r="G28" s="109"/>
      <c r="H28" s="127"/>
      <c r="I28" s="135">
        <f>J27+1</f>
        <v>243736</v>
      </c>
      <c r="J28" s="135">
        <f>I28+6</f>
        <v>243742</v>
      </c>
      <c r="K28" s="136">
        <f t="shared" si="2"/>
        <v>7</v>
      </c>
      <c r="L28" s="162">
        <f>BOQ!N56</f>
        <v>229882.32</v>
      </c>
      <c r="M28" s="126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27"/>
      <c r="AI28" s="138" t="s">
        <v>85</v>
      </c>
      <c r="AJ28" s="139" t="s">
        <v>153</v>
      </c>
      <c r="AK28" s="153">
        <f>AK29</f>
        <v>22.55</v>
      </c>
      <c r="AL28" s="154">
        <f>AL27</f>
        <v>26.400000000000002</v>
      </c>
      <c r="AM28" s="153">
        <v>84</v>
      </c>
      <c r="AN28" s="154">
        <v>84</v>
      </c>
      <c r="AO28" s="108"/>
      <c r="AP28" s="165"/>
      <c r="AQ28" s="166"/>
      <c r="AR28" s="166"/>
      <c r="AS28" s="167">
        <v>0</v>
      </c>
      <c r="AT28" s="168">
        <v>0</v>
      </c>
      <c r="AU28" s="166">
        <v>0</v>
      </c>
      <c r="AV28" s="166">
        <f>(56/20)*AU28</f>
        <v>0</v>
      </c>
      <c r="AW28" s="169">
        <v>0</v>
      </c>
      <c r="AX28" s="108"/>
      <c r="AY28" s="108"/>
      <c r="AZ28" s="108"/>
      <c r="BA28" s="107"/>
      <c r="BC28" s="133"/>
      <c r="BD28" s="107"/>
    </row>
    <row r="29" spans="1:59" x14ac:dyDescent="0.5">
      <c r="A29" s="45">
        <v>23</v>
      </c>
      <c r="B29" s="161">
        <v>4.3</v>
      </c>
      <c r="C29" s="109" t="s">
        <v>19</v>
      </c>
      <c r="D29" s="109"/>
      <c r="E29" s="109"/>
      <c r="F29" s="109"/>
      <c r="G29" s="109"/>
      <c r="H29" s="127"/>
      <c r="I29" s="135">
        <f>J28+1</f>
        <v>243743</v>
      </c>
      <c r="J29" s="135">
        <f>I29+3</f>
        <v>243746</v>
      </c>
      <c r="K29" s="136">
        <f t="shared" si="2"/>
        <v>4</v>
      </c>
      <c r="L29" s="162">
        <f>BOQ!N57</f>
        <v>27720</v>
      </c>
      <c r="M29" s="126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27"/>
      <c r="AI29" s="138" t="s">
        <v>86</v>
      </c>
      <c r="AJ29" s="139" t="s">
        <v>154</v>
      </c>
      <c r="AK29" s="153">
        <v>22.55</v>
      </c>
      <c r="AL29" s="154">
        <v>22.55</v>
      </c>
      <c r="AM29" s="153">
        <f>AM27</f>
        <v>84</v>
      </c>
      <c r="AN29" s="154">
        <f>AN27</f>
        <v>94</v>
      </c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7"/>
      <c r="BC29" s="133"/>
      <c r="BD29" s="107"/>
    </row>
    <row r="30" spans="1:59" ht="27.75" x14ac:dyDescent="0.5">
      <c r="A30" s="45">
        <v>24</v>
      </c>
      <c r="B30" s="161">
        <v>4.4000000000000004</v>
      </c>
      <c r="C30" s="109" t="s">
        <v>18</v>
      </c>
      <c r="D30" s="109"/>
      <c r="E30" s="109"/>
      <c r="F30" s="109"/>
      <c r="G30" s="109"/>
      <c r="H30" s="127"/>
      <c r="I30" s="135">
        <f>J29+1</f>
        <v>243747</v>
      </c>
      <c r="J30" s="135">
        <f>I30+1</f>
        <v>243748</v>
      </c>
      <c r="K30" s="136">
        <f t="shared" si="2"/>
        <v>2</v>
      </c>
      <c r="L30" s="162">
        <f>BOQ!N58</f>
        <v>52800</v>
      </c>
      <c r="M30" s="126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27"/>
      <c r="AI30" s="138" t="s">
        <v>87</v>
      </c>
      <c r="AJ30" s="139" t="s">
        <v>153</v>
      </c>
      <c r="AK30" s="153">
        <f>AK29-0.15</f>
        <v>22.400000000000002</v>
      </c>
      <c r="AL30" s="154">
        <f>AL29-0.15</f>
        <v>22.400000000000002</v>
      </c>
      <c r="AM30" s="153">
        <f>AM29</f>
        <v>84</v>
      </c>
      <c r="AN30" s="154">
        <f>AN29</f>
        <v>94</v>
      </c>
      <c r="AO30" s="108"/>
      <c r="AP30" s="170" t="s">
        <v>207</v>
      </c>
      <c r="AQ30" s="170"/>
      <c r="AR30" s="170"/>
      <c r="AS30" s="171" t="s">
        <v>208</v>
      </c>
      <c r="AT30" s="171"/>
      <c r="AU30" s="172" t="s">
        <v>209</v>
      </c>
      <c r="AV30" s="172"/>
      <c r="AW30" s="172"/>
      <c r="AX30" s="108"/>
      <c r="AY30" s="108"/>
      <c r="AZ30" s="108"/>
      <c r="BA30" s="107"/>
      <c r="BC30" s="133"/>
      <c r="BD30" s="107"/>
    </row>
    <row r="31" spans="1:59" ht="24" customHeight="1" x14ac:dyDescent="0.5">
      <c r="A31" s="45">
        <v>25</v>
      </c>
      <c r="B31" s="161">
        <v>4.5</v>
      </c>
      <c r="C31" s="109" t="s">
        <v>21</v>
      </c>
      <c r="D31" s="109"/>
      <c r="E31" s="109"/>
      <c r="F31" s="109"/>
      <c r="G31" s="109"/>
      <c r="H31" s="127"/>
      <c r="I31" s="135">
        <f>J30+1</f>
        <v>243749</v>
      </c>
      <c r="J31" s="135">
        <f>I31</f>
        <v>243749</v>
      </c>
      <c r="K31" s="136">
        <f t="shared" si="2"/>
        <v>1</v>
      </c>
      <c r="L31" s="162">
        <f>BOQ!N59</f>
        <v>2592.0000000000005</v>
      </c>
      <c r="M31" s="126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27"/>
      <c r="AI31" s="138" t="s">
        <v>88</v>
      </c>
      <c r="AJ31" s="139" t="s">
        <v>153</v>
      </c>
      <c r="AK31" s="153">
        <v>14.5</v>
      </c>
      <c r="AL31" s="154">
        <f>AL30</f>
        <v>22.400000000000002</v>
      </c>
      <c r="AM31" s="153">
        <f>AM30</f>
        <v>84</v>
      </c>
      <c r="AN31" s="154">
        <f>AN28</f>
        <v>84</v>
      </c>
      <c r="AO31" s="108"/>
      <c r="AP31" s="206">
        <v>243678</v>
      </c>
      <c r="AQ31" s="207"/>
      <c r="AR31" s="208"/>
      <c r="AS31" s="209">
        <f>AP31+K7</f>
        <v>243828</v>
      </c>
      <c r="AT31" s="209"/>
      <c r="AU31" s="89">
        <f>AS31-AP31</f>
        <v>150</v>
      </c>
      <c r="AV31" s="89"/>
      <c r="AW31" s="89"/>
      <c r="AX31" s="108"/>
      <c r="AY31" s="108"/>
      <c r="AZ31" s="108"/>
      <c r="BA31" s="107"/>
      <c r="BC31" s="133"/>
      <c r="BD31" s="107"/>
    </row>
    <row r="32" spans="1:59" ht="27.75" x14ac:dyDescent="0.5">
      <c r="A32" s="45">
        <v>26</v>
      </c>
      <c r="B32" s="161">
        <v>4.5</v>
      </c>
      <c r="C32" s="109" t="s">
        <v>22</v>
      </c>
      <c r="D32" s="109"/>
      <c r="E32" s="109"/>
      <c r="F32" s="109"/>
      <c r="G32" s="109"/>
      <c r="H32" s="127"/>
      <c r="I32" s="135">
        <f>J31+1</f>
        <v>243750</v>
      </c>
      <c r="J32" s="135">
        <f>I32+1</f>
        <v>243751</v>
      </c>
      <c r="K32" s="136">
        <f t="shared" si="2"/>
        <v>2</v>
      </c>
      <c r="L32" s="162">
        <f>BOQ!N60</f>
        <v>2592.0000000000005</v>
      </c>
      <c r="M32" s="126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27"/>
      <c r="AI32" s="138" t="s">
        <v>89</v>
      </c>
      <c r="AJ32" s="139" t="s">
        <v>154</v>
      </c>
      <c r="AK32" s="153">
        <f>AK31</f>
        <v>14.5</v>
      </c>
      <c r="AL32" s="173">
        <v>14.5</v>
      </c>
      <c r="AM32" s="153">
        <f>AM29</f>
        <v>84</v>
      </c>
      <c r="AN32" s="154">
        <f>AN29+5</f>
        <v>99</v>
      </c>
      <c r="AO32" s="108"/>
      <c r="AP32" s="174" t="s">
        <v>212</v>
      </c>
      <c r="AQ32" s="175"/>
      <c r="AR32" s="175"/>
      <c r="AS32" s="175"/>
      <c r="AT32" s="175"/>
      <c r="AU32" s="176"/>
      <c r="AV32" s="217" t="s">
        <v>210</v>
      </c>
      <c r="AW32" s="214" t="s">
        <v>211</v>
      </c>
      <c r="AX32" s="108"/>
      <c r="AY32" s="108"/>
      <c r="AZ32" s="108"/>
      <c r="BA32" s="107"/>
      <c r="BC32" s="133"/>
      <c r="BD32" s="107"/>
    </row>
    <row r="33" spans="1:56" ht="27.75" x14ac:dyDescent="0.5">
      <c r="A33" s="45">
        <v>27</v>
      </c>
      <c r="B33" s="161">
        <v>4.5999999999999996</v>
      </c>
      <c r="C33" s="109" t="s">
        <v>23</v>
      </c>
      <c r="D33" s="109"/>
      <c r="E33" s="109"/>
      <c r="F33" s="109"/>
      <c r="G33" s="109"/>
      <c r="H33" s="127"/>
      <c r="I33" s="135">
        <f>J29+7</f>
        <v>243753</v>
      </c>
      <c r="J33" s="135">
        <f>I33+4</f>
        <v>243757</v>
      </c>
      <c r="K33" s="136">
        <f t="shared" si="2"/>
        <v>5</v>
      </c>
      <c r="L33" s="162">
        <f>BOQ!N61</f>
        <v>79186.8</v>
      </c>
      <c r="M33" s="126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27"/>
      <c r="AI33" s="138" t="s">
        <v>90</v>
      </c>
      <c r="AJ33" s="139" t="s">
        <v>153</v>
      </c>
      <c r="AK33" s="153">
        <f>AK32</f>
        <v>14.5</v>
      </c>
      <c r="AL33" s="173">
        <f>AL32</f>
        <v>14.5</v>
      </c>
      <c r="AM33" s="153">
        <f>AN33-5</f>
        <v>127</v>
      </c>
      <c r="AN33" s="154">
        <f>AN32+K49+2</f>
        <v>132</v>
      </c>
      <c r="AO33" s="108"/>
      <c r="AP33" s="211" t="s">
        <v>213</v>
      </c>
      <c r="AQ33" s="212"/>
      <c r="AR33" s="212"/>
      <c r="AS33" s="212"/>
      <c r="AT33" s="212"/>
      <c r="AU33" s="213"/>
      <c r="AV33" s="216">
        <v>0</v>
      </c>
      <c r="AW33" s="215" cm="1">
        <f t="array" ref="AW33">INDEX(BC8:BC17,AS34)</f>
        <v>53.199999999999996</v>
      </c>
      <c r="AX33" s="108"/>
      <c r="AY33" s="108"/>
      <c r="AZ33" s="108"/>
      <c r="BA33" s="107"/>
      <c r="BC33" s="133"/>
      <c r="BD33" s="107"/>
    </row>
    <row r="34" spans="1:56" x14ac:dyDescent="0.5">
      <c r="A34" s="45">
        <v>28</v>
      </c>
      <c r="B34" s="161">
        <v>4.7</v>
      </c>
      <c r="C34" s="109" t="s">
        <v>25</v>
      </c>
      <c r="D34" s="109"/>
      <c r="E34" s="109"/>
      <c r="F34" s="109"/>
      <c r="G34" s="109"/>
      <c r="H34" s="127"/>
      <c r="I34" s="135">
        <f>J33+1</f>
        <v>243758</v>
      </c>
      <c r="J34" s="135">
        <f>I34+6</f>
        <v>243764</v>
      </c>
      <c r="K34" s="136">
        <f t="shared" si="2"/>
        <v>7</v>
      </c>
      <c r="L34" s="162">
        <f>BOQ!N62</f>
        <v>21183.75</v>
      </c>
      <c r="M34" s="126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27"/>
      <c r="AI34" s="138" t="s">
        <v>91</v>
      </c>
      <c r="AJ34" s="139" t="s">
        <v>154</v>
      </c>
      <c r="AK34" s="153">
        <v>10.5</v>
      </c>
      <c r="AL34" s="154">
        <f>AL33</f>
        <v>14.5</v>
      </c>
      <c r="AM34" s="153">
        <f>AN33</f>
        <v>132</v>
      </c>
      <c r="AN34" s="154">
        <f>AN33</f>
        <v>132</v>
      </c>
      <c r="AO34" s="108"/>
      <c r="AP34" s="204"/>
      <c r="AQ34" s="205"/>
      <c r="AR34" s="205"/>
      <c r="AS34" s="205">
        <v>6</v>
      </c>
      <c r="AT34" s="205"/>
      <c r="AU34" s="177"/>
      <c r="AV34" s="216" cm="1">
        <f t="array" ref="AV34">INDEX(BD8:BD17,AS34)</f>
        <v>90</v>
      </c>
      <c r="AW34" s="215">
        <f>AW33</f>
        <v>53.199999999999996</v>
      </c>
      <c r="AX34" s="108"/>
      <c r="AY34" s="108"/>
      <c r="AZ34" s="108"/>
      <c r="BA34" s="107"/>
      <c r="BC34" s="133"/>
      <c r="BD34" s="107"/>
    </row>
    <row r="35" spans="1:56" x14ac:dyDescent="0.5">
      <c r="A35" s="45">
        <v>29</v>
      </c>
      <c r="B35" s="161">
        <v>4.8</v>
      </c>
      <c r="C35" s="109" t="s">
        <v>37</v>
      </c>
      <c r="D35" s="109"/>
      <c r="E35" s="109"/>
      <c r="F35" s="109"/>
      <c r="G35" s="109"/>
      <c r="H35" s="127"/>
      <c r="I35" s="135">
        <f>J29+14</f>
        <v>243760</v>
      </c>
      <c r="J35" s="135">
        <f>I35+2</f>
        <v>243762</v>
      </c>
      <c r="K35" s="136">
        <f t="shared" si="2"/>
        <v>3</v>
      </c>
      <c r="L35" s="162">
        <f>BOQ!N63</f>
        <v>45000</v>
      </c>
      <c r="M35" s="126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27"/>
      <c r="AI35" s="138" t="s">
        <v>92</v>
      </c>
      <c r="AJ35" s="139" t="s">
        <v>153</v>
      </c>
      <c r="AK35" s="153">
        <f>AK34</f>
        <v>10.5</v>
      </c>
      <c r="AL35" s="154">
        <f>AK35</f>
        <v>10.5</v>
      </c>
      <c r="AM35" s="153">
        <f>AN35-15</f>
        <v>117</v>
      </c>
      <c r="AN35" s="154">
        <f>AN33</f>
        <v>132</v>
      </c>
      <c r="AO35" s="108"/>
      <c r="AP35" s="204"/>
      <c r="AQ35" s="205"/>
      <c r="AR35" s="205"/>
      <c r="AS35" s="205"/>
      <c r="AT35" s="205"/>
      <c r="AU35" s="177"/>
      <c r="AV35" s="216">
        <f>AV34</f>
        <v>90</v>
      </c>
      <c r="AW35" s="215">
        <v>0</v>
      </c>
      <c r="AX35" s="108"/>
      <c r="AY35" s="108"/>
      <c r="AZ35" s="108"/>
      <c r="BA35" s="107"/>
      <c r="BC35" s="133"/>
      <c r="BD35" s="107"/>
    </row>
    <row r="36" spans="1:56" x14ac:dyDescent="0.5">
      <c r="A36" s="45">
        <v>30</v>
      </c>
      <c r="B36" s="163">
        <v>4.9000000000000004</v>
      </c>
      <c r="C36" s="114" t="s">
        <v>38</v>
      </c>
      <c r="D36" s="114"/>
      <c r="E36" s="114"/>
      <c r="F36" s="114"/>
      <c r="G36" s="114"/>
      <c r="H36" s="164"/>
      <c r="I36" s="135">
        <f>J35+1</f>
        <v>243763</v>
      </c>
      <c r="J36" s="135">
        <f>I36+3</f>
        <v>243766</v>
      </c>
      <c r="K36" s="136">
        <f t="shared" si="2"/>
        <v>4</v>
      </c>
      <c r="L36" s="162">
        <f>BOQ!N64</f>
        <v>19687.5</v>
      </c>
      <c r="M36" s="126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27"/>
      <c r="AI36" s="138" t="s">
        <v>93</v>
      </c>
      <c r="AJ36" s="139" t="s">
        <v>153</v>
      </c>
      <c r="AK36" s="153">
        <v>6.5</v>
      </c>
      <c r="AL36" s="154">
        <f>AL35</f>
        <v>10.5</v>
      </c>
      <c r="AM36" s="153">
        <f>AM35</f>
        <v>117</v>
      </c>
      <c r="AN36" s="154">
        <f>AM35</f>
        <v>117</v>
      </c>
      <c r="AO36" s="108"/>
      <c r="AP36" s="223" t="s">
        <v>214</v>
      </c>
      <c r="AQ36" s="224"/>
      <c r="AR36" s="225"/>
      <c r="AS36" s="219" cm="1">
        <f t="array" ref="AS36">INDEX(BE8:BE17,AS34)</f>
        <v>243767</v>
      </c>
      <c r="AT36" s="220"/>
      <c r="AU36" s="221"/>
      <c r="AV36" s="218"/>
      <c r="AW36" s="210"/>
      <c r="AX36" s="108"/>
      <c r="AY36" s="108"/>
      <c r="AZ36" s="108"/>
      <c r="BA36" s="107"/>
      <c r="BC36" s="133"/>
      <c r="BD36" s="107"/>
    </row>
    <row r="37" spans="1:56" ht="24" customHeight="1" x14ac:dyDescent="0.5">
      <c r="A37" s="45">
        <v>31</v>
      </c>
      <c r="B37" s="146">
        <v>5</v>
      </c>
      <c r="C37" s="147" t="s">
        <v>50</v>
      </c>
      <c r="D37" s="148"/>
      <c r="E37" s="148"/>
      <c r="F37" s="148"/>
      <c r="G37" s="148"/>
      <c r="H37" s="149"/>
      <c r="I37" s="150">
        <f>MIN(I38:I40)</f>
        <v>243766</v>
      </c>
      <c r="J37" s="150">
        <f>MAX(J38:J40)</f>
        <v>243774</v>
      </c>
      <c r="K37" s="151">
        <f t="shared" si="2"/>
        <v>9</v>
      </c>
      <c r="L37" s="152">
        <f>SUM(L38:L40)</f>
        <v>147001</v>
      </c>
      <c r="M37" s="126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27"/>
      <c r="AI37" s="138" t="s">
        <v>94</v>
      </c>
      <c r="AJ37" s="139" t="s">
        <v>154</v>
      </c>
      <c r="AK37" s="153">
        <f>AK36</f>
        <v>6.5</v>
      </c>
      <c r="AL37" s="154">
        <f>AK36</f>
        <v>6.5</v>
      </c>
      <c r="AM37" s="153">
        <v>117</v>
      </c>
      <c r="AN37" s="154">
        <v>132</v>
      </c>
      <c r="AO37" s="108"/>
      <c r="AP37" s="222" t="s">
        <v>215</v>
      </c>
      <c r="AQ37" s="222"/>
      <c r="AR37" s="222"/>
      <c r="AS37" s="222" t="str" cm="1">
        <f t="array" ref="AS37">TRUNC(INDEX(BF8:BF17,AS34),2)&amp;"THB"</f>
        <v>433950.11THB</v>
      </c>
      <c r="AT37" s="222"/>
      <c r="AU37" s="222"/>
      <c r="AV37" s="108"/>
      <c r="AW37" s="108"/>
      <c r="AX37" s="108"/>
      <c r="AY37" s="108"/>
      <c r="AZ37" s="108"/>
      <c r="BA37" s="107"/>
      <c r="BC37" s="133"/>
      <c r="BD37" s="107"/>
    </row>
    <row r="38" spans="1:56" x14ac:dyDescent="0.5">
      <c r="A38" s="45">
        <v>32</v>
      </c>
      <c r="B38" s="161">
        <v>5.0999999999999996</v>
      </c>
      <c r="C38" s="109" t="s">
        <v>26</v>
      </c>
      <c r="D38" s="109"/>
      <c r="E38" s="109"/>
      <c r="F38" s="109"/>
      <c r="G38" s="109"/>
      <c r="H38" s="127"/>
      <c r="I38" s="135">
        <f>J34+2</f>
        <v>243766</v>
      </c>
      <c r="J38" s="135">
        <f>I38+3</f>
        <v>243769</v>
      </c>
      <c r="K38" s="136">
        <f t="shared" si="2"/>
        <v>4</v>
      </c>
      <c r="L38" s="162">
        <f>BOQ!N66</f>
        <v>78501</v>
      </c>
      <c r="M38" s="126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27"/>
      <c r="AI38" s="138" t="s">
        <v>95</v>
      </c>
      <c r="AJ38" s="139" t="s">
        <v>153</v>
      </c>
      <c r="AK38" s="153"/>
      <c r="AL38" s="154"/>
      <c r="AM38" s="153"/>
      <c r="AN38" s="154"/>
      <c r="AO38" s="108"/>
      <c r="AP38" s="222" t="s">
        <v>216</v>
      </c>
      <c r="AQ38" s="222"/>
      <c r="AR38" s="222"/>
      <c r="AS38" s="222" t="str" cm="1">
        <f t="array" ref="AS38">TRUNC(INDEX(BG8:BG17,AS34),2)&amp;"THB"</f>
        <v>2061263.05THB</v>
      </c>
      <c r="AT38" s="222"/>
      <c r="AU38" s="222"/>
      <c r="AV38" s="108"/>
      <c r="AW38" s="108"/>
      <c r="AX38" s="108"/>
      <c r="AY38" s="108"/>
      <c r="AZ38" s="108"/>
      <c r="BA38" s="107"/>
      <c r="BC38" s="133"/>
      <c r="BD38" s="107"/>
    </row>
    <row r="39" spans="1:56" x14ac:dyDescent="0.5">
      <c r="A39" s="45">
        <v>33</v>
      </c>
      <c r="B39" s="161">
        <v>5.2</v>
      </c>
      <c r="C39" s="109" t="s">
        <v>27</v>
      </c>
      <c r="D39" s="109"/>
      <c r="E39" s="109"/>
      <c r="F39" s="109"/>
      <c r="G39" s="109"/>
      <c r="H39" s="127"/>
      <c r="I39" s="135">
        <f>J38+1</f>
        <v>243770</v>
      </c>
      <c r="J39" s="135">
        <f>I39+2</f>
        <v>243772</v>
      </c>
      <c r="K39" s="136">
        <f t="shared" si="2"/>
        <v>3</v>
      </c>
      <c r="L39" s="162">
        <f>BOQ!N67</f>
        <v>41100</v>
      </c>
      <c r="M39" s="126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27"/>
      <c r="AI39" s="138" t="s">
        <v>96</v>
      </c>
      <c r="AJ39" s="139" t="s">
        <v>153</v>
      </c>
      <c r="AK39" s="153"/>
      <c r="AL39" s="154"/>
      <c r="AM39" s="153"/>
      <c r="AN39" s="154"/>
      <c r="AO39" s="108"/>
      <c r="AP39" s="108" t="s">
        <v>217</v>
      </c>
      <c r="AQ39" s="226" t="str" cm="1">
        <f t="array" ref="AQ39">"ผลงานประจำ "&amp;INDEX(BB8:BB17,AS34)&amp;"  "&amp;AS37&amp;",มูลค่าการเบิกงวดสะสมที่ควรได้  "&amp;AS38</f>
        <v>ผลงานประจำ WEEK 6  433950.11THB,มูลค่าการเบิกงวดสะสมที่ควรได้  2061263.05THB</v>
      </c>
      <c r="AR39" s="226"/>
      <c r="AS39" s="226"/>
      <c r="AT39" s="226"/>
      <c r="AU39" s="226"/>
      <c r="AV39" s="108"/>
      <c r="AW39" s="108"/>
      <c r="AX39" s="108"/>
      <c r="AY39" s="108"/>
      <c r="AZ39" s="108"/>
      <c r="BA39" s="107"/>
      <c r="BC39" s="133"/>
      <c r="BD39" s="107"/>
    </row>
    <row r="40" spans="1:56" x14ac:dyDescent="0.5">
      <c r="A40" s="45">
        <v>34</v>
      </c>
      <c r="B40" s="163">
        <v>5.3</v>
      </c>
      <c r="C40" s="114" t="s">
        <v>28</v>
      </c>
      <c r="D40" s="114"/>
      <c r="E40" s="114"/>
      <c r="F40" s="114"/>
      <c r="G40" s="114"/>
      <c r="H40" s="164"/>
      <c r="I40" s="135">
        <f>J39+1</f>
        <v>243773</v>
      </c>
      <c r="J40" s="135">
        <f>I40+1</f>
        <v>243774</v>
      </c>
      <c r="K40" s="136">
        <f t="shared" si="2"/>
        <v>2</v>
      </c>
      <c r="L40" s="162">
        <f>BOQ!N68</f>
        <v>27400</v>
      </c>
      <c r="M40" s="126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27"/>
      <c r="AI40" s="138" t="s">
        <v>97</v>
      </c>
      <c r="AJ40" s="139" t="s">
        <v>154</v>
      </c>
      <c r="AK40" s="153"/>
      <c r="AL40" s="154"/>
      <c r="AM40" s="153"/>
      <c r="AN40" s="154"/>
      <c r="AO40" s="108"/>
      <c r="AP40" s="108" t="s">
        <v>218</v>
      </c>
      <c r="AQ40" s="108" t="s">
        <v>219</v>
      </c>
      <c r="AR40" s="108"/>
      <c r="AS40" s="108"/>
      <c r="AT40" s="108"/>
      <c r="AU40" s="108"/>
      <c r="AV40" s="108"/>
      <c r="AW40" s="108"/>
      <c r="AX40" s="108"/>
      <c r="AY40" s="108"/>
      <c r="AZ40" s="108"/>
      <c r="BA40" s="107"/>
      <c r="BC40" s="133"/>
      <c r="BD40" s="107"/>
    </row>
    <row r="41" spans="1:56" x14ac:dyDescent="0.5">
      <c r="A41" s="45">
        <v>35</v>
      </c>
      <c r="B41" s="146">
        <v>6</v>
      </c>
      <c r="C41" s="147" t="s">
        <v>51</v>
      </c>
      <c r="D41" s="148"/>
      <c r="E41" s="148"/>
      <c r="F41" s="148"/>
      <c r="G41" s="148"/>
      <c r="H41" s="149"/>
      <c r="I41" s="150">
        <f>MIN(I42:I48)</f>
        <v>243767</v>
      </c>
      <c r="J41" s="150">
        <f>MAX(J42:J48)</f>
        <v>243804</v>
      </c>
      <c r="K41" s="151">
        <f t="shared" si="2"/>
        <v>38</v>
      </c>
      <c r="L41" s="152">
        <f>SUM(L42:L48)</f>
        <v>295830.70299999998</v>
      </c>
      <c r="M41" s="126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27"/>
      <c r="AI41" s="138" t="s">
        <v>98</v>
      </c>
      <c r="AJ41" s="139" t="s">
        <v>153</v>
      </c>
      <c r="AK41" s="153"/>
      <c r="AL41" s="154"/>
      <c r="AM41" s="153"/>
      <c r="AN41" s="154"/>
      <c r="AO41" s="108"/>
      <c r="AP41" s="201"/>
      <c r="AQ41" s="201"/>
      <c r="AR41" s="108"/>
      <c r="AS41" s="108"/>
      <c r="AT41" s="108"/>
      <c r="AU41" s="108"/>
      <c r="AV41" s="108"/>
      <c r="AW41" s="108"/>
      <c r="AX41" s="108"/>
      <c r="AY41" s="108"/>
      <c r="AZ41" s="108"/>
      <c r="BA41" s="107"/>
      <c r="BC41" s="133"/>
      <c r="BD41" s="107"/>
    </row>
    <row r="42" spans="1:56" x14ac:dyDescent="0.5">
      <c r="A42" s="45">
        <v>36</v>
      </c>
      <c r="B42" s="161">
        <v>6.1</v>
      </c>
      <c r="C42" s="109" t="s">
        <v>31</v>
      </c>
      <c r="D42" s="109"/>
      <c r="E42" s="109"/>
      <c r="F42" s="109"/>
      <c r="G42" s="109"/>
      <c r="H42" s="127"/>
      <c r="I42" s="135">
        <f>J36+1</f>
        <v>243767</v>
      </c>
      <c r="J42" s="135">
        <f>I42+5</f>
        <v>243772</v>
      </c>
      <c r="K42" s="136">
        <f t="shared" si="2"/>
        <v>6</v>
      </c>
      <c r="L42" s="162">
        <f>BOQ!N70</f>
        <v>67761.915000000008</v>
      </c>
      <c r="M42" s="126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27"/>
      <c r="AI42" s="138" t="s">
        <v>99</v>
      </c>
      <c r="AJ42" s="139" t="s">
        <v>154</v>
      </c>
      <c r="AK42" s="153"/>
      <c r="AL42" s="154"/>
      <c r="AM42" s="153"/>
      <c r="AN42" s="154"/>
      <c r="AO42" s="108"/>
      <c r="AP42" s="201"/>
      <c r="AQ42" s="201"/>
      <c r="AR42" s="108"/>
      <c r="AS42" s="108"/>
      <c r="AT42" s="108"/>
      <c r="AU42" s="108"/>
      <c r="AV42" s="108"/>
      <c r="AW42" s="108"/>
      <c r="AX42" s="108"/>
      <c r="AY42" s="108"/>
      <c r="AZ42" s="108"/>
      <c r="BA42" s="107"/>
      <c r="BC42" s="133"/>
      <c r="BD42" s="107"/>
    </row>
    <row r="43" spans="1:56" ht="24" customHeight="1" x14ac:dyDescent="0.5">
      <c r="A43" s="45">
        <v>37</v>
      </c>
      <c r="B43" s="161">
        <v>6.2</v>
      </c>
      <c r="C43" s="109" t="s">
        <v>34</v>
      </c>
      <c r="D43" s="109"/>
      <c r="E43" s="109"/>
      <c r="F43" s="109"/>
      <c r="G43" s="109"/>
      <c r="H43" s="127"/>
      <c r="I43" s="135">
        <f>I42+2</f>
        <v>243769</v>
      </c>
      <c r="J43" s="135">
        <f>I43+3</f>
        <v>243772</v>
      </c>
      <c r="K43" s="136">
        <f t="shared" si="2"/>
        <v>4</v>
      </c>
      <c r="L43" s="162">
        <f>BOQ!N71</f>
        <v>8360</v>
      </c>
      <c r="M43" s="126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27"/>
      <c r="AI43" s="138" t="s">
        <v>100</v>
      </c>
      <c r="AJ43" s="139" t="s">
        <v>153</v>
      </c>
      <c r="AK43" s="153"/>
      <c r="AL43" s="154"/>
      <c r="AM43" s="153"/>
      <c r="AN43" s="154"/>
      <c r="AO43" s="108"/>
      <c r="AP43" s="201"/>
      <c r="AQ43" s="201"/>
      <c r="AR43" s="108"/>
      <c r="AS43" s="108"/>
      <c r="AT43" s="108"/>
      <c r="AU43" s="108"/>
      <c r="AV43" s="108"/>
      <c r="AW43" s="108"/>
      <c r="AX43" s="108"/>
      <c r="AY43" s="108"/>
      <c r="AZ43" s="108"/>
      <c r="BA43" s="107"/>
      <c r="BC43" s="133"/>
      <c r="BD43" s="107"/>
    </row>
    <row r="44" spans="1:56" x14ac:dyDescent="0.5">
      <c r="A44" s="45">
        <v>38</v>
      </c>
      <c r="B44" s="161">
        <v>6.3</v>
      </c>
      <c r="C44" s="109" t="s">
        <v>30</v>
      </c>
      <c r="D44" s="109"/>
      <c r="E44" s="109"/>
      <c r="F44" s="109"/>
      <c r="G44" s="109"/>
      <c r="H44" s="127"/>
      <c r="I44" s="135">
        <f>J43+1</f>
        <v>243773</v>
      </c>
      <c r="J44" s="135">
        <f>I44+3</f>
        <v>243776</v>
      </c>
      <c r="K44" s="136">
        <f t="shared" si="2"/>
        <v>4</v>
      </c>
      <c r="L44" s="162">
        <f>BOQ!N72</f>
        <v>65780.639999999999</v>
      </c>
      <c r="M44" s="126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27"/>
      <c r="AI44" s="138" t="s">
        <v>101</v>
      </c>
      <c r="AJ44" s="139" t="s">
        <v>153</v>
      </c>
      <c r="AK44" s="153"/>
      <c r="AL44" s="154"/>
      <c r="AM44" s="153"/>
      <c r="AN44" s="154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7"/>
      <c r="BC44" s="133"/>
      <c r="BD44" s="107"/>
    </row>
    <row r="45" spans="1:56" x14ac:dyDescent="0.5">
      <c r="A45" s="45">
        <v>39</v>
      </c>
      <c r="B45" s="161">
        <v>6.4</v>
      </c>
      <c r="C45" s="109" t="s">
        <v>32</v>
      </c>
      <c r="D45" s="109"/>
      <c r="E45" s="109"/>
      <c r="F45" s="109"/>
      <c r="G45" s="109"/>
      <c r="H45" s="127"/>
      <c r="I45" s="135">
        <f>J53+1</f>
        <v>243791</v>
      </c>
      <c r="J45" s="135">
        <f>I45+6</f>
        <v>243797</v>
      </c>
      <c r="K45" s="136">
        <f t="shared" si="2"/>
        <v>7</v>
      </c>
      <c r="L45" s="162">
        <f>BOQ!N73</f>
        <v>78023.148000000001</v>
      </c>
      <c r="M45" s="126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27"/>
      <c r="AI45" s="138" t="s">
        <v>102</v>
      </c>
      <c r="AJ45" s="139" t="s">
        <v>154</v>
      </c>
      <c r="AK45" s="153"/>
      <c r="AL45" s="154"/>
      <c r="AM45" s="153"/>
      <c r="AN45" s="154"/>
      <c r="AO45" s="108"/>
      <c r="AP45" s="108"/>
      <c r="AQ45" s="108"/>
      <c r="AR45" s="199"/>
      <c r="AS45" s="200"/>
      <c r="AT45" s="108"/>
      <c r="AU45" s="108"/>
      <c r="AV45" s="108"/>
      <c r="AW45" s="108"/>
      <c r="AX45" s="108"/>
      <c r="AY45" s="108"/>
      <c r="AZ45" s="108"/>
      <c r="BA45" s="107"/>
      <c r="BC45" s="133"/>
      <c r="BD45" s="107"/>
    </row>
    <row r="46" spans="1:56" x14ac:dyDescent="0.5">
      <c r="A46" s="45">
        <v>40</v>
      </c>
      <c r="B46" s="161">
        <v>6.5</v>
      </c>
      <c r="C46" s="109" t="s">
        <v>36</v>
      </c>
      <c r="D46" s="109"/>
      <c r="E46" s="109"/>
      <c r="F46" s="109"/>
      <c r="G46" s="109"/>
      <c r="H46" s="127"/>
      <c r="I46" s="135">
        <f>J44+1</f>
        <v>243777</v>
      </c>
      <c r="J46" s="135">
        <f>I46+2</f>
        <v>243779</v>
      </c>
      <c r="K46" s="136">
        <f t="shared" si="2"/>
        <v>3</v>
      </c>
      <c r="L46" s="162">
        <f>BOQ!N74</f>
        <v>16280</v>
      </c>
      <c r="M46" s="126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27"/>
      <c r="AI46" s="138" t="s">
        <v>103</v>
      </c>
      <c r="AJ46" s="139" t="s">
        <v>153</v>
      </c>
      <c r="AK46" s="153"/>
      <c r="AL46" s="154"/>
      <c r="AM46" s="153"/>
      <c r="AN46" s="154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7"/>
      <c r="BC46" s="133"/>
      <c r="BD46" s="107"/>
    </row>
    <row r="47" spans="1:56" x14ac:dyDescent="0.5">
      <c r="A47" s="45">
        <v>41</v>
      </c>
      <c r="B47" s="161">
        <v>6.6</v>
      </c>
      <c r="C47" s="109" t="s">
        <v>39</v>
      </c>
      <c r="D47" s="109"/>
      <c r="E47" s="109"/>
      <c r="F47" s="109"/>
      <c r="G47" s="109"/>
      <c r="H47" s="127"/>
      <c r="I47" s="135">
        <f>J55+1</f>
        <v>243793</v>
      </c>
      <c r="J47" s="135">
        <f>I47+6</f>
        <v>243799</v>
      </c>
      <c r="K47" s="136">
        <f t="shared" si="2"/>
        <v>7</v>
      </c>
      <c r="L47" s="162">
        <f>BOQ!N75</f>
        <v>44625</v>
      </c>
      <c r="M47" s="126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27"/>
      <c r="AI47" s="138" t="s">
        <v>104</v>
      </c>
      <c r="AJ47" s="139" t="s">
        <v>153</v>
      </c>
      <c r="AK47" s="153"/>
      <c r="AL47" s="154"/>
      <c r="AM47" s="153"/>
      <c r="AN47" s="154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7"/>
      <c r="BC47" s="133"/>
      <c r="BD47" s="107"/>
    </row>
    <row r="48" spans="1:56" x14ac:dyDescent="0.5">
      <c r="A48" s="45">
        <v>42</v>
      </c>
      <c r="B48" s="163">
        <v>6.7</v>
      </c>
      <c r="C48" s="114" t="s">
        <v>40</v>
      </c>
      <c r="D48" s="114"/>
      <c r="E48" s="114"/>
      <c r="F48" s="114"/>
      <c r="G48" s="114"/>
      <c r="H48" s="164"/>
      <c r="I48" s="135">
        <f>J47+1</f>
        <v>243800</v>
      </c>
      <c r="J48" s="135">
        <f>I48+4</f>
        <v>243804</v>
      </c>
      <c r="K48" s="136">
        <f t="shared" si="2"/>
        <v>5</v>
      </c>
      <c r="L48" s="162">
        <f>BOQ!N76</f>
        <v>15000</v>
      </c>
      <c r="M48" s="126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27"/>
      <c r="AI48" s="138" t="s">
        <v>105</v>
      </c>
      <c r="AJ48" s="139" t="s">
        <v>154</v>
      </c>
      <c r="AK48" s="153"/>
      <c r="AL48" s="154"/>
      <c r="AM48" s="153"/>
      <c r="AN48" s="154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7"/>
      <c r="BC48" s="133"/>
      <c r="BD48" s="107"/>
    </row>
    <row r="49" spans="1:56" ht="24" customHeight="1" x14ac:dyDescent="0.5">
      <c r="A49" s="45">
        <v>43</v>
      </c>
      <c r="B49" s="146">
        <v>7</v>
      </c>
      <c r="C49" s="147" t="s">
        <v>52</v>
      </c>
      <c r="D49" s="148"/>
      <c r="E49" s="148"/>
      <c r="F49" s="148"/>
      <c r="G49" s="148"/>
      <c r="H49" s="149"/>
      <c r="I49" s="150">
        <f>MIN(I50:I56)</f>
        <v>243774</v>
      </c>
      <c r="J49" s="150">
        <f>MAX(J50:J56)</f>
        <v>243804</v>
      </c>
      <c r="K49" s="151">
        <f t="shared" si="2"/>
        <v>31</v>
      </c>
      <c r="L49" s="152">
        <f>SUM(L50:L56)</f>
        <v>290880.163</v>
      </c>
      <c r="M49" s="126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27"/>
      <c r="AI49" s="138" t="s">
        <v>106</v>
      </c>
      <c r="AJ49" s="139" t="s">
        <v>153</v>
      </c>
      <c r="AK49" s="153"/>
      <c r="AL49" s="154"/>
      <c r="AM49" s="153"/>
      <c r="AN49" s="154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7"/>
      <c r="BC49" s="133"/>
      <c r="BD49" s="107"/>
    </row>
    <row r="50" spans="1:56" x14ac:dyDescent="0.5">
      <c r="A50" s="45">
        <v>44</v>
      </c>
      <c r="B50" s="161">
        <v>7.1</v>
      </c>
      <c r="C50" s="109" t="s">
        <v>33</v>
      </c>
      <c r="D50" s="109"/>
      <c r="E50" s="109"/>
      <c r="F50" s="109"/>
      <c r="G50" s="109"/>
      <c r="H50" s="127"/>
      <c r="I50" s="135">
        <f>J42+2</f>
        <v>243774</v>
      </c>
      <c r="J50" s="135">
        <f>I50+5</f>
        <v>243779</v>
      </c>
      <c r="K50" s="136">
        <f t="shared" si="2"/>
        <v>6</v>
      </c>
      <c r="L50" s="162">
        <f>BOQ!N78</f>
        <v>62811.375000000007</v>
      </c>
      <c r="M50" s="126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27"/>
      <c r="AI50" s="138" t="s">
        <v>107</v>
      </c>
      <c r="AJ50" s="139" t="s">
        <v>154</v>
      </c>
      <c r="AK50" s="153"/>
      <c r="AL50" s="154"/>
      <c r="AM50" s="153"/>
      <c r="AN50" s="154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7"/>
      <c r="BC50" s="133"/>
      <c r="BD50" s="107"/>
    </row>
    <row r="51" spans="1:56" x14ac:dyDescent="0.5">
      <c r="A51" s="45">
        <v>45</v>
      </c>
      <c r="B51" s="161">
        <v>7.2</v>
      </c>
      <c r="C51" s="109" t="s">
        <v>35</v>
      </c>
      <c r="D51" s="109"/>
      <c r="E51" s="109"/>
      <c r="F51" s="109"/>
      <c r="G51" s="109"/>
      <c r="H51" s="127"/>
      <c r="I51" s="135">
        <f>I50+2</f>
        <v>243776</v>
      </c>
      <c r="J51" s="135">
        <f>I51+3</f>
        <v>243779</v>
      </c>
      <c r="K51" s="136">
        <f t="shared" si="2"/>
        <v>4</v>
      </c>
      <c r="L51" s="162">
        <f>BOQ!N79</f>
        <v>8360</v>
      </c>
      <c r="M51" s="126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27"/>
      <c r="AI51" s="138" t="s">
        <v>108</v>
      </c>
      <c r="AJ51" s="139" t="s">
        <v>153</v>
      </c>
      <c r="AK51" s="153"/>
      <c r="AL51" s="154"/>
      <c r="AM51" s="153"/>
      <c r="AN51" s="154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7"/>
      <c r="BC51" s="133"/>
      <c r="BD51" s="107"/>
    </row>
    <row r="52" spans="1:56" x14ac:dyDescent="0.5">
      <c r="A52" s="45">
        <v>46</v>
      </c>
      <c r="B52" s="161">
        <v>7.3</v>
      </c>
      <c r="C52" s="109" t="s">
        <v>30</v>
      </c>
      <c r="D52" s="109"/>
      <c r="E52" s="109"/>
      <c r="F52" s="109"/>
      <c r="G52" s="109"/>
      <c r="H52" s="127"/>
      <c r="I52" s="135">
        <f>J51+1</f>
        <v>243780</v>
      </c>
      <c r="J52" s="135">
        <f>I52+3</f>
        <v>243783</v>
      </c>
      <c r="K52" s="136">
        <f t="shared" si="2"/>
        <v>4</v>
      </c>
      <c r="L52" s="162">
        <f>BOQ!N80</f>
        <v>65780.639999999999</v>
      </c>
      <c r="M52" s="126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27"/>
      <c r="AI52" s="138" t="s">
        <v>109</v>
      </c>
      <c r="AJ52" s="139" t="s">
        <v>153</v>
      </c>
      <c r="AK52" s="153"/>
      <c r="AL52" s="154"/>
      <c r="AM52" s="153"/>
      <c r="AN52" s="154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7"/>
      <c r="BC52" s="133"/>
      <c r="BD52" s="107"/>
    </row>
    <row r="53" spans="1:56" x14ac:dyDescent="0.5">
      <c r="A53" s="45">
        <v>47</v>
      </c>
      <c r="B53" s="161">
        <v>7.4</v>
      </c>
      <c r="C53" s="109" t="s">
        <v>32</v>
      </c>
      <c r="D53" s="109"/>
      <c r="E53" s="109"/>
      <c r="F53" s="109"/>
      <c r="G53" s="109"/>
      <c r="H53" s="127"/>
      <c r="I53" s="135">
        <f>J52+1</f>
        <v>243784</v>
      </c>
      <c r="J53" s="135">
        <f>I53+6</f>
        <v>243790</v>
      </c>
      <c r="K53" s="136">
        <f t="shared" si="2"/>
        <v>7</v>
      </c>
      <c r="L53" s="162">
        <f>BOQ!N81</f>
        <v>78023.148000000001</v>
      </c>
      <c r="M53" s="126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27"/>
      <c r="AI53" s="138" t="s">
        <v>110</v>
      </c>
      <c r="AJ53" s="139" t="s">
        <v>154</v>
      </c>
      <c r="AK53" s="153"/>
      <c r="AL53" s="154"/>
      <c r="AM53" s="153"/>
      <c r="AN53" s="154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7"/>
      <c r="BC53" s="133"/>
      <c r="BD53" s="107"/>
    </row>
    <row r="54" spans="1:56" ht="24" customHeight="1" x14ac:dyDescent="0.5">
      <c r="A54" s="45">
        <v>48</v>
      </c>
      <c r="B54" s="161">
        <v>7.5</v>
      </c>
      <c r="C54" s="109" t="s">
        <v>36</v>
      </c>
      <c r="D54" s="109"/>
      <c r="E54" s="109"/>
      <c r="F54" s="109"/>
      <c r="G54" s="109"/>
      <c r="H54" s="127"/>
      <c r="I54" s="135">
        <f>J52+3</f>
        <v>243786</v>
      </c>
      <c r="J54" s="135">
        <f>I54+1</f>
        <v>243787</v>
      </c>
      <c r="K54" s="136">
        <f t="shared" si="2"/>
        <v>2</v>
      </c>
      <c r="L54" s="162">
        <f>BOQ!N82</f>
        <v>16280</v>
      </c>
      <c r="M54" s="126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27"/>
      <c r="AI54" s="138" t="s">
        <v>111</v>
      </c>
      <c r="AJ54" s="139" t="s">
        <v>153</v>
      </c>
      <c r="AK54" s="153"/>
      <c r="AL54" s="154"/>
      <c r="AM54" s="153"/>
      <c r="AN54" s="154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7"/>
      <c r="BC54" s="133"/>
      <c r="BD54" s="107"/>
    </row>
    <row r="55" spans="1:56" ht="24" customHeight="1" x14ac:dyDescent="0.5">
      <c r="A55" s="45">
        <v>49</v>
      </c>
      <c r="B55" s="161">
        <v>7.6</v>
      </c>
      <c r="C55" s="109" t="s">
        <v>39</v>
      </c>
      <c r="D55" s="109"/>
      <c r="E55" s="109"/>
      <c r="F55" s="109"/>
      <c r="G55" s="109"/>
      <c r="H55" s="127"/>
      <c r="I55" s="135">
        <f>J54+1</f>
        <v>243788</v>
      </c>
      <c r="J55" s="135">
        <f>I55+4</f>
        <v>243792</v>
      </c>
      <c r="K55" s="136">
        <f t="shared" si="2"/>
        <v>5</v>
      </c>
      <c r="L55" s="162">
        <f>BOQ!N83</f>
        <v>44625</v>
      </c>
      <c r="M55" s="126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27"/>
      <c r="AI55" s="138" t="s">
        <v>112</v>
      </c>
      <c r="AJ55" s="139" t="s">
        <v>153</v>
      </c>
      <c r="AK55" s="153"/>
      <c r="AL55" s="154"/>
      <c r="AM55" s="153"/>
      <c r="AN55" s="154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7"/>
      <c r="BC55" s="133"/>
      <c r="BD55" s="107"/>
    </row>
    <row r="56" spans="1:56" x14ac:dyDescent="0.5">
      <c r="A56" s="45">
        <v>50</v>
      </c>
      <c r="B56" s="163">
        <v>7.7</v>
      </c>
      <c r="C56" s="114" t="s">
        <v>40</v>
      </c>
      <c r="D56" s="114"/>
      <c r="E56" s="114"/>
      <c r="F56" s="114"/>
      <c r="G56" s="114"/>
      <c r="H56" s="164"/>
      <c r="I56" s="135">
        <f>I48</f>
        <v>243800</v>
      </c>
      <c r="J56" s="135">
        <f>J48</f>
        <v>243804</v>
      </c>
      <c r="K56" s="136">
        <f t="shared" si="2"/>
        <v>5</v>
      </c>
      <c r="L56" s="162">
        <f>BOQ!N84</f>
        <v>15000</v>
      </c>
      <c r="M56" s="126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27"/>
      <c r="AI56" s="138" t="s">
        <v>113</v>
      </c>
      <c r="AJ56" s="139" t="s">
        <v>154</v>
      </c>
      <c r="AK56" s="153"/>
      <c r="AL56" s="154"/>
      <c r="AM56" s="153"/>
      <c r="AN56" s="154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7"/>
      <c r="BC56" s="133"/>
      <c r="BD56" s="107"/>
    </row>
    <row r="57" spans="1:56" x14ac:dyDescent="0.5">
      <c r="A57" s="45">
        <v>51</v>
      </c>
      <c r="B57" s="146">
        <v>8</v>
      </c>
      <c r="C57" s="147" t="s">
        <v>53</v>
      </c>
      <c r="D57" s="148"/>
      <c r="E57" s="148"/>
      <c r="F57" s="148"/>
      <c r="G57" s="148"/>
      <c r="H57" s="149"/>
      <c r="I57" s="150">
        <f>MIN(I58:I63)</f>
        <v>243800</v>
      </c>
      <c r="J57" s="150">
        <f>MAX(J58:J63)</f>
        <v>243827</v>
      </c>
      <c r="K57" s="151">
        <f t="shared" si="2"/>
        <v>28</v>
      </c>
      <c r="L57" s="152">
        <f>SUM(L58:L63)</f>
        <v>189355.86462499999</v>
      </c>
      <c r="M57" s="126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27"/>
      <c r="AI57" s="138" t="s">
        <v>114</v>
      </c>
      <c r="AJ57" s="139" t="s">
        <v>153</v>
      </c>
      <c r="AK57" s="153"/>
      <c r="AL57" s="154"/>
      <c r="AM57" s="153"/>
      <c r="AN57" s="154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7"/>
      <c r="BC57" s="133"/>
      <c r="BD57" s="107"/>
    </row>
    <row r="58" spans="1:56" x14ac:dyDescent="0.5">
      <c r="A58" s="45">
        <v>52</v>
      </c>
      <c r="B58" s="178">
        <v>8.1</v>
      </c>
      <c r="C58" s="109" t="s">
        <v>42</v>
      </c>
      <c r="D58" s="109"/>
      <c r="E58" s="109"/>
      <c r="F58" s="109"/>
      <c r="G58" s="109"/>
      <c r="H58" s="127"/>
      <c r="I58" s="135">
        <f>J45+3</f>
        <v>243800</v>
      </c>
      <c r="J58" s="135">
        <f>I58+3</f>
        <v>243803</v>
      </c>
      <c r="K58" s="136">
        <f t="shared" si="2"/>
        <v>4</v>
      </c>
      <c r="L58" s="162">
        <f>BOQ!N86</f>
        <v>28000</v>
      </c>
      <c r="M58" s="126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27"/>
      <c r="AI58" s="138" t="s">
        <v>115</v>
      </c>
      <c r="AJ58" s="139" t="s">
        <v>154</v>
      </c>
      <c r="AK58" s="153"/>
      <c r="AL58" s="154"/>
      <c r="AM58" s="153"/>
      <c r="AN58" s="154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7"/>
      <c r="BC58" s="133"/>
      <c r="BD58" s="107"/>
    </row>
    <row r="59" spans="1:56" x14ac:dyDescent="0.5">
      <c r="A59" s="45">
        <v>53</v>
      </c>
      <c r="B59" s="161">
        <v>8.1999999999999993</v>
      </c>
      <c r="C59" s="109" t="s">
        <v>43</v>
      </c>
      <c r="D59" s="109"/>
      <c r="E59" s="109"/>
      <c r="F59" s="109"/>
      <c r="G59" s="109"/>
      <c r="H59" s="127"/>
      <c r="I59" s="135">
        <f>J58+1</f>
        <v>243804</v>
      </c>
      <c r="J59" s="135">
        <f>I59+2</f>
        <v>243806</v>
      </c>
      <c r="K59" s="136">
        <f t="shared" si="2"/>
        <v>3</v>
      </c>
      <c r="L59" s="162">
        <f>BOQ!N87</f>
        <v>9360</v>
      </c>
      <c r="M59" s="126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27"/>
      <c r="AI59" s="138" t="s">
        <v>116</v>
      </c>
      <c r="AJ59" s="139" t="s">
        <v>153</v>
      </c>
      <c r="AK59" s="153"/>
      <c r="AL59" s="154"/>
      <c r="AM59" s="153"/>
      <c r="AN59" s="154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7"/>
      <c r="BC59" s="133"/>
      <c r="BD59" s="107"/>
    </row>
    <row r="60" spans="1:56" x14ac:dyDescent="0.5">
      <c r="A60" s="45">
        <v>54</v>
      </c>
      <c r="B60" s="161">
        <v>8.3000000000000007</v>
      </c>
      <c r="C60" s="109" t="s">
        <v>61</v>
      </c>
      <c r="D60" s="109"/>
      <c r="E60" s="109"/>
      <c r="F60" s="109"/>
      <c r="G60" s="109"/>
      <c r="H60" s="127"/>
      <c r="I60" s="135">
        <f>J59+1</f>
        <v>243807</v>
      </c>
      <c r="J60" s="135">
        <f>I60+6</f>
        <v>243813</v>
      </c>
      <c r="K60" s="136">
        <f t="shared" si="2"/>
        <v>7</v>
      </c>
      <c r="L60" s="162">
        <f>BOQ!N88</f>
        <v>7674.4079999999994</v>
      </c>
      <c r="M60" s="126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27"/>
      <c r="AI60" s="138" t="s">
        <v>117</v>
      </c>
      <c r="AJ60" s="139" t="s">
        <v>153</v>
      </c>
      <c r="AK60" s="153"/>
      <c r="AL60" s="154"/>
      <c r="AM60" s="153"/>
      <c r="AN60" s="154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7"/>
      <c r="BC60" s="133"/>
      <c r="BD60" s="107"/>
    </row>
    <row r="61" spans="1:56" ht="24" customHeight="1" x14ac:dyDescent="0.5">
      <c r="A61" s="45">
        <v>55</v>
      </c>
      <c r="B61" s="161">
        <v>8.4</v>
      </c>
      <c r="C61" s="109" t="s">
        <v>41</v>
      </c>
      <c r="D61" s="109"/>
      <c r="E61" s="109"/>
      <c r="F61" s="109"/>
      <c r="G61" s="109"/>
      <c r="H61" s="127"/>
      <c r="I61" s="135">
        <f>J60</f>
        <v>243813</v>
      </c>
      <c r="J61" s="135">
        <f>I61+4</f>
        <v>243817</v>
      </c>
      <c r="K61" s="136">
        <f t="shared" si="2"/>
        <v>5</v>
      </c>
      <c r="L61" s="162">
        <f>BOQ!N89</f>
        <v>6000</v>
      </c>
      <c r="M61" s="126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27"/>
      <c r="AI61" s="138" t="s">
        <v>118</v>
      </c>
      <c r="AJ61" s="139" t="s">
        <v>154</v>
      </c>
      <c r="AK61" s="153"/>
      <c r="AL61" s="154"/>
      <c r="AM61" s="153"/>
      <c r="AN61" s="154"/>
      <c r="AP61" s="108"/>
      <c r="AQ61" s="108"/>
      <c r="AR61" s="108"/>
      <c r="AS61" s="108"/>
      <c r="AT61" s="108"/>
      <c r="AU61" s="108"/>
      <c r="AV61" s="108"/>
      <c r="AW61" s="108"/>
      <c r="BC61" s="133"/>
      <c r="BD61" s="107"/>
    </row>
    <row r="62" spans="1:56" x14ac:dyDescent="0.5">
      <c r="A62" s="45">
        <v>56</v>
      </c>
      <c r="B62" s="161">
        <v>8.5</v>
      </c>
      <c r="C62" s="109" t="s">
        <v>44</v>
      </c>
      <c r="D62" s="109"/>
      <c r="E62" s="109"/>
      <c r="F62" s="109"/>
      <c r="G62" s="109"/>
      <c r="H62" s="127"/>
      <c r="I62" s="135">
        <f>J61+1</f>
        <v>243818</v>
      </c>
      <c r="J62" s="135">
        <f>I62+3</f>
        <v>243821</v>
      </c>
      <c r="K62" s="136">
        <f t="shared" si="2"/>
        <v>4</v>
      </c>
      <c r="L62" s="162">
        <f>BOQ!N90</f>
        <v>35000</v>
      </c>
      <c r="M62" s="126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27"/>
      <c r="AI62" s="138" t="s">
        <v>119</v>
      </c>
      <c r="AJ62" s="139" t="s">
        <v>153</v>
      </c>
      <c r="AK62" s="153"/>
      <c r="AL62" s="154"/>
      <c r="AM62" s="153"/>
      <c r="AN62" s="154"/>
      <c r="BC62" s="133"/>
      <c r="BD62" s="107"/>
    </row>
    <row r="63" spans="1:56" x14ac:dyDescent="0.5">
      <c r="A63" s="45">
        <v>57</v>
      </c>
      <c r="B63" s="163">
        <v>8.6</v>
      </c>
      <c r="C63" s="114" t="s">
        <v>199</v>
      </c>
      <c r="D63" s="114"/>
      <c r="E63" s="114"/>
      <c r="F63" s="114"/>
      <c r="G63" s="114"/>
      <c r="H63" s="164"/>
      <c r="I63" s="135">
        <f>I60</f>
        <v>243807</v>
      </c>
      <c r="J63" s="135">
        <f>J62+6</f>
        <v>243827</v>
      </c>
      <c r="K63" s="136">
        <f t="shared" si="2"/>
        <v>21</v>
      </c>
      <c r="L63" s="162">
        <f>E71</f>
        <v>103321.45662500001</v>
      </c>
      <c r="M63" s="126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27"/>
      <c r="AI63" s="179" t="s">
        <v>120</v>
      </c>
      <c r="AJ63" s="180" t="s">
        <v>153</v>
      </c>
      <c r="AK63" s="181"/>
      <c r="AL63" s="182"/>
      <c r="AM63" s="181"/>
      <c r="AN63" s="182"/>
      <c r="AO63" s="108"/>
      <c r="AX63" s="108"/>
      <c r="AY63" s="108"/>
      <c r="AZ63" s="108"/>
      <c r="BA63" s="107"/>
      <c r="BC63" s="133"/>
      <c r="BD63" s="107"/>
    </row>
    <row r="64" spans="1:56" x14ac:dyDescent="0.5">
      <c r="B64" s="183" t="str">
        <f>"มูลค่างานก่อสร้างตามสัญญาจ้างเลขที่ "&amp;L2&amp;"(THB)"</f>
        <v>มูลค่างานก่อสร้างตามสัญญาจ้างเลขที่ ADT-01/67(THB)</v>
      </c>
      <c r="C64" s="116"/>
      <c r="D64" s="116"/>
      <c r="E64" s="116"/>
      <c r="F64" s="116"/>
      <c r="G64" s="116"/>
      <c r="H64" s="116"/>
      <c r="I64" s="116"/>
      <c r="J64" s="184"/>
      <c r="K64" s="185">
        <f>L8+L11+L17+L26+L37+L41+L49+L57</f>
        <v>2169750.5891249999</v>
      </c>
      <c r="L64" s="116"/>
      <c r="M64" s="186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64"/>
      <c r="AP64" s="108"/>
      <c r="AQ64" s="108"/>
      <c r="AR64" s="108"/>
      <c r="AS64" s="108"/>
      <c r="AT64" s="108"/>
      <c r="AU64" s="108"/>
      <c r="AV64" s="108"/>
      <c r="AW64" s="108"/>
      <c r="BC64" s="133"/>
      <c r="BD64" s="107"/>
    </row>
    <row r="65" spans="2:63" x14ac:dyDescent="0.5">
      <c r="B65" s="187"/>
      <c r="C65" s="188"/>
      <c r="D65" s="188"/>
      <c r="E65" s="188"/>
      <c r="F65" s="189"/>
      <c r="G65" s="187"/>
      <c r="H65" s="188"/>
      <c r="I65" s="190"/>
      <c r="J65" s="191"/>
      <c r="K65" s="183" t="s">
        <v>137</v>
      </c>
      <c r="L65" s="116"/>
      <c r="M65" s="112"/>
      <c r="N65" s="95" t="s">
        <v>132</v>
      </c>
      <c r="O65" s="95"/>
      <c r="P65" s="95"/>
      <c r="Q65" s="95"/>
      <c r="R65" s="95" t="s">
        <v>133</v>
      </c>
      <c r="S65" s="95"/>
      <c r="T65" s="95"/>
      <c r="U65" s="95"/>
      <c r="V65" s="95" t="s">
        <v>134</v>
      </c>
      <c r="W65" s="95"/>
      <c r="X65" s="95"/>
      <c r="Y65" s="95"/>
      <c r="Z65" s="95" t="s">
        <v>135</v>
      </c>
      <c r="AA65" s="95"/>
      <c r="AB65" s="95"/>
      <c r="AC65" s="95"/>
      <c r="AD65" s="95" t="s">
        <v>136</v>
      </c>
      <c r="AE65" s="95"/>
      <c r="AF65" s="95"/>
      <c r="AG65" s="95"/>
      <c r="BC65" s="133"/>
      <c r="BD65" s="107"/>
    </row>
    <row r="66" spans="2:63" x14ac:dyDescent="0.5">
      <c r="B66" s="192" t="s">
        <v>121</v>
      </c>
      <c r="C66" s="193"/>
      <c r="D66" s="193"/>
      <c r="E66" s="193"/>
      <c r="F66" s="194"/>
      <c r="G66" s="192" t="s">
        <v>125</v>
      </c>
      <c r="H66" s="193"/>
      <c r="I66" s="193"/>
      <c r="J66" s="194"/>
      <c r="K66" s="183" t="s">
        <v>138</v>
      </c>
      <c r="L66" s="116"/>
      <c r="M66" s="184"/>
      <c r="N66" s="95" t="s">
        <v>139</v>
      </c>
      <c r="O66" s="95"/>
      <c r="P66" s="95" t="s">
        <v>140</v>
      </c>
      <c r="Q66" s="95"/>
      <c r="R66" s="95" t="s">
        <v>141</v>
      </c>
      <c r="S66" s="95"/>
      <c r="T66" s="95" t="s">
        <v>142</v>
      </c>
      <c r="U66" s="95"/>
      <c r="V66" s="95" t="s">
        <v>143</v>
      </c>
      <c r="W66" s="95"/>
      <c r="X66" s="95" t="s">
        <v>144</v>
      </c>
      <c r="Y66" s="95"/>
      <c r="Z66" s="95" t="s">
        <v>145</v>
      </c>
      <c r="AA66" s="95"/>
      <c r="AB66" s="95" t="s">
        <v>146</v>
      </c>
      <c r="AC66" s="95"/>
      <c r="AD66" s="95" t="s">
        <v>147</v>
      </c>
      <c r="AE66" s="95"/>
      <c r="AF66" s="95" t="s">
        <v>148</v>
      </c>
      <c r="AG66" s="95"/>
      <c r="BC66" s="133"/>
      <c r="BD66" s="107"/>
    </row>
    <row r="67" spans="2:63" x14ac:dyDescent="0.5">
      <c r="B67" s="192" t="s">
        <v>122</v>
      </c>
      <c r="C67" s="193"/>
      <c r="D67" s="193"/>
      <c r="E67" s="193"/>
      <c r="F67" s="194"/>
      <c r="G67" s="192" t="s">
        <v>124</v>
      </c>
      <c r="H67" s="193"/>
      <c r="I67" s="193"/>
      <c r="J67" s="194"/>
      <c r="K67" s="95" t="s">
        <v>150</v>
      </c>
      <c r="L67" s="95"/>
      <c r="M67" s="95"/>
      <c r="N67" s="96">
        <f>AR26+AR27</f>
        <v>7.4999999999999997E-3</v>
      </c>
      <c r="O67" s="96"/>
      <c r="P67" s="96">
        <f>AQ24-AQ26</f>
        <v>4.7999999999999994E-2</v>
      </c>
      <c r="Q67" s="96"/>
      <c r="R67" s="96">
        <f>AQ22-AQ24</f>
        <v>0.16450000000000001</v>
      </c>
      <c r="S67" s="96"/>
      <c r="T67" s="96">
        <f>AQ20-AQ22</f>
        <v>0.30000000000000004</v>
      </c>
      <c r="U67" s="96"/>
      <c r="V67" s="96">
        <f>AQ18-AQ20</f>
        <v>0.22999999999999998</v>
      </c>
      <c r="W67" s="96"/>
      <c r="X67" s="96">
        <f>AQ16-AQ18</f>
        <v>0.19999999999999996</v>
      </c>
      <c r="Y67" s="96"/>
      <c r="Z67" s="96">
        <f>AQ14-AQ16</f>
        <v>3.5000000000000031E-2</v>
      </c>
      <c r="AA67" s="96"/>
      <c r="AB67" s="96">
        <f>AQ12-AQ14</f>
        <v>3.9000000000000146E-3</v>
      </c>
      <c r="AC67" s="96"/>
      <c r="AD67" s="96">
        <f>AQ10-AQ12</f>
        <v>6.3999999999999613E-3</v>
      </c>
      <c r="AE67" s="96"/>
      <c r="AF67" s="96">
        <f>AQ8-AQ10</f>
        <v>4.7000000000000375E-3</v>
      </c>
      <c r="AG67" s="96"/>
      <c r="BC67" s="133"/>
      <c r="BD67" s="107"/>
      <c r="BK67" s="102">
        <v>0</v>
      </c>
    </row>
    <row r="68" spans="2:63" x14ac:dyDescent="0.5">
      <c r="B68" s="192" t="s">
        <v>123</v>
      </c>
      <c r="C68" s="193"/>
      <c r="D68" s="193"/>
      <c r="E68" s="193"/>
      <c r="F68" s="194"/>
      <c r="G68" s="192"/>
      <c r="H68" s="193"/>
      <c r="I68" s="193"/>
      <c r="J68" s="194"/>
      <c r="K68" s="195" t="s">
        <v>189</v>
      </c>
      <c r="L68" s="195"/>
      <c r="M68" s="195"/>
      <c r="N68" s="97">
        <f>N67*$K$64/100000</f>
        <v>0.16273129418437499</v>
      </c>
      <c r="O68" s="98"/>
      <c r="P68" s="97">
        <f t="shared" ref="P68" si="3">P67*$K$64/100000</f>
        <v>1.0414802827799998</v>
      </c>
      <c r="Q68" s="98"/>
      <c r="R68" s="97">
        <f t="shared" ref="R68" si="4">R67*$K$64/100000</f>
        <v>3.5692397191106249</v>
      </c>
      <c r="S68" s="98"/>
      <c r="T68" s="97">
        <f t="shared" ref="T68" si="5">T67*$K$64/100000</f>
        <v>6.5092517673750008</v>
      </c>
      <c r="U68" s="98"/>
      <c r="V68" s="97">
        <f t="shared" ref="V68" si="6">V67*$K$64/100000</f>
        <v>4.9904263549875001</v>
      </c>
      <c r="W68" s="98"/>
      <c r="X68" s="97">
        <f t="shared" ref="X68" si="7">X67*$K$64/100000</f>
        <v>4.339501178249999</v>
      </c>
      <c r="Y68" s="98"/>
      <c r="Z68" s="97">
        <f t="shared" ref="Z68" si="8">Z67*$K$64/100000</f>
        <v>0.75941270619375068</v>
      </c>
      <c r="AA68" s="98"/>
      <c r="AB68" s="97">
        <f t="shared" ref="AB68" si="9">AB67*$K$64/100000</f>
        <v>8.4620272975875307E-2</v>
      </c>
      <c r="AC68" s="98"/>
      <c r="AD68" s="97">
        <f t="shared" ref="AD68" si="10">AD67*$K$64/100000</f>
        <v>0.13886403770399916</v>
      </c>
      <c r="AE68" s="98"/>
      <c r="AF68" s="97">
        <f t="shared" ref="AF68" si="11">AF67*$K$64/100000</f>
        <v>0.10197827768887581</v>
      </c>
      <c r="AG68" s="98"/>
      <c r="BC68" s="133"/>
      <c r="BD68" s="107"/>
    </row>
    <row r="69" spans="2:63" x14ac:dyDescent="0.5">
      <c r="B69" s="192" t="s">
        <v>127</v>
      </c>
      <c r="C69" s="193"/>
      <c r="D69" s="193"/>
      <c r="E69" s="193"/>
      <c r="F69" s="194"/>
      <c r="G69" s="192" t="s">
        <v>126</v>
      </c>
      <c r="H69" s="193"/>
      <c r="I69" s="193"/>
      <c r="J69" s="194"/>
      <c r="K69" s="95" t="s">
        <v>149</v>
      </c>
      <c r="L69" s="95"/>
      <c r="M69" s="95"/>
      <c r="N69" s="96">
        <f>AQ26</f>
        <v>7.4999999999999997E-3</v>
      </c>
      <c r="O69" s="96"/>
      <c r="P69" s="96">
        <f>AQ24</f>
        <v>5.5499999999999994E-2</v>
      </c>
      <c r="Q69" s="96"/>
      <c r="R69" s="96">
        <f>AQ22</f>
        <v>0.22</v>
      </c>
      <c r="S69" s="96"/>
      <c r="T69" s="96">
        <f>AQ20</f>
        <v>0.52</v>
      </c>
      <c r="U69" s="96"/>
      <c r="V69" s="96">
        <f>AQ18</f>
        <v>0.75</v>
      </c>
      <c r="W69" s="96"/>
      <c r="X69" s="96">
        <f>AQ16</f>
        <v>0.95</v>
      </c>
      <c r="Y69" s="96"/>
      <c r="Z69" s="96">
        <f>AQ14</f>
        <v>0.98499999999999999</v>
      </c>
      <c r="AA69" s="96"/>
      <c r="AB69" s="96">
        <f>AQ12</f>
        <v>0.9889</v>
      </c>
      <c r="AC69" s="96"/>
      <c r="AD69" s="96">
        <f>AQ10</f>
        <v>0.99529999999999996</v>
      </c>
      <c r="AE69" s="96"/>
      <c r="AF69" s="96">
        <f>AQ8</f>
        <v>1</v>
      </c>
      <c r="AG69" s="96"/>
      <c r="BC69" s="133"/>
      <c r="BD69" s="107"/>
    </row>
    <row r="70" spans="2:63" x14ac:dyDescent="0.5">
      <c r="B70" s="186"/>
      <c r="C70" s="114"/>
      <c r="D70" s="114"/>
      <c r="E70" s="114"/>
      <c r="F70" s="164"/>
      <c r="G70" s="186"/>
      <c r="H70" s="114"/>
      <c r="I70" s="196"/>
      <c r="J70" s="197"/>
      <c r="K70" s="95" t="s">
        <v>190</v>
      </c>
      <c r="L70" s="95"/>
      <c r="M70" s="95"/>
      <c r="N70" s="97">
        <f>N69*$K$64/100000</f>
        <v>0.16273129418437499</v>
      </c>
      <c r="O70" s="95"/>
      <c r="P70" s="97">
        <f>P69*$K$64/100000</f>
        <v>1.2042115769643749</v>
      </c>
      <c r="Q70" s="95"/>
      <c r="R70" s="97">
        <f t="shared" ref="R70" si="12">R69*$K$64/100000</f>
        <v>4.7734512960749997</v>
      </c>
      <c r="S70" s="95"/>
      <c r="T70" s="97">
        <f t="shared" ref="T70" si="13">T69*$K$64/100000</f>
        <v>11.282703063449999</v>
      </c>
      <c r="U70" s="95"/>
      <c r="V70" s="97">
        <f t="shared" ref="V70" si="14">V69*$K$64/100000</f>
        <v>16.273129418437499</v>
      </c>
      <c r="W70" s="95"/>
      <c r="X70" s="97">
        <f t="shared" ref="X70" si="15">X69*$K$64/100000</f>
        <v>20.612630596687499</v>
      </c>
      <c r="Y70" s="95"/>
      <c r="Z70" s="97">
        <f t="shared" ref="Z70" si="16">Z69*$K$64/100000</f>
        <v>21.372043302881249</v>
      </c>
      <c r="AA70" s="95"/>
      <c r="AB70" s="97">
        <f t="shared" ref="AB70" si="17">AB69*$K$64/100000</f>
        <v>21.456663575857124</v>
      </c>
      <c r="AC70" s="95"/>
      <c r="AD70" s="97">
        <f t="shared" ref="AD70" si="18">AD69*$K$64/100000</f>
        <v>21.595527613561124</v>
      </c>
      <c r="AE70" s="95"/>
      <c r="AF70" s="97">
        <f t="shared" ref="AF70" si="19">AF69*$K$64/100000</f>
        <v>21.69750589125</v>
      </c>
      <c r="AG70" s="95"/>
      <c r="BC70" s="133"/>
      <c r="BD70" s="107"/>
    </row>
    <row r="71" spans="2:63" x14ac:dyDescent="0.5">
      <c r="E71" s="198">
        <v>103321.45662500001</v>
      </c>
      <c r="F71" s="198"/>
      <c r="BC71" s="133"/>
      <c r="BD71" s="107"/>
    </row>
    <row r="72" spans="2:63" x14ac:dyDescent="0.5">
      <c r="BC72" s="133"/>
      <c r="BD72" s="107"/>
    </row>
    <row r="73" spans="2:63" x14ac:dyDescent="0.5">
      <c r="BC73" s="133"/>
      <c r="BD73" s="107"/>
    </row>
    <row r="74" spans="2:63" x14ac:dyDescent="0.5">
      <c r="BC74" s="133"/>
      <c r="BD74" s="107"/>
    </row>
    <row r="75" spans="2:63" x14ac:dyDescent="0.5">
      <c r="BC75" s="133"/>
      <c r="BD75" s="107"/>
    </row>
    <row r="76" spans="2:63" x14ac:dyDescent="0.5">
      <c r="BC76" s="133"/>
      <c r="BD76" s="107"/>
    </row>
    <row r="77" spans="2:63" x14ac:dyDescent="0.5">
      <c r="BC77" s="133"/>
      <c r="BD77" s="107"/>
    </row>
    <row r="78" spans="2:63" x14ac:dyDescent="0.5">
      <c r="BC78" s="133"/>
      <c r="BD78" s="107"/>
    </row>
    <row r="79" spans="2:63" x14ac:dyDescent="0.5">
      <c r="BC79" s="133"/>
      <c r="BD79" s="107"/>
    </row>
    <row r="80" spans="2:63" x14ac:dyDescent="0.5">
      <c r="BC80" s="133"/>
      <c r="BD80" s="107"/>
    </row>
    <row r="81" spans="55:56" x14ac:dyDescent="0.5">
      <c r="BC81" s="133"/>
      <c r="BD81" s="107"/>
    </row>
    <row r="82" spans="55:56" x14ac:dyDescent="0.5">
      <c r="BC82" s="133"/>
      <c r="BD82" s="107"/>
    </row>
    <row r="83" spans="55:56" x14ac:dyDescent="0.5">
      <c r="BC83" s="133"/>
      <c r="BD83" s="107"/>
    </row>
    <row r="84" spans="55:56" x14ac:dyDescent="0.5">
      <c r="BC84" s="133"/>
      <c r="BD84" s="107"/>
    </row>
    <row r="85" spans="55:56" x14ac:dyDescent="0.5">
      <c r="BC85" s="133"/>
      <c r="BD85" s="107"/>
    </row>
    <row r="86" spans="55:56" x14ac:dyDescent="0.5">
      <c r="BC86" s="133"/>
      <c r="BD86" s="107"/>
    </row>
    <row r="87" spans="55:56" x14ac:dyDescent="0.5">
      <c r="BC87" s="133"/>
      <c r="BD87" s="107"/>
    </row>
    <row r="88" spans="55:56" x14ac:dyDescent="0.5">
      <c r="BC88" s="133"/>
      <c r="BD88" s="107"/>
    </row>
    <row r="89" spans="55:56" x14ac:dyDescent="0.5">
      <c r="BC89" s="133"/>
      <c r="BD89" s="107"/>
    </row>
    <row r="90" spans="55:56" x14ac:dyDescent="0.5">
      <c r="BC90" s="133"/>
      <c r="BD90" s="107"/>
    </row>
    <row r="91" spans="55:56" x14ac:dyDescent="0.5">
      <c r="BC91" s="133"/>
      <c r="BD91" s="107"/>
    </row>
    <row r="92" spans="55:56" x14ac:dyDescent="0.5">
      <c r="BC92" s="133"/>
      <c r="BD92" s="107"/>
    </row>
    <row r="93" spans="55:56" x14ac:dyDescent="0.5">
      <c r="BC93" s="133"/>
      <c r="BD93" s="107"/>
    </row>
    <row r="94" spans="55:56" x14ac:dyDescent="0.5">
      <c r="BC94" s="133"/>
      <c r="BD94" s="107"/>
    </row>
    <row r="95" spans="55:56" x14ac:dyDescent="0.5">
      <c r="BC95" s="133"/>
      <c r="BD95" s="107"/>
    </row>
    <row r="96" spans="55:56" x14ac:dyDescent="0.5">
      <c r="BC96" s="133"/>
      <c r="BD96" s="107"/>
    </row>
    <row r="97" spans="55:56" x14ac:dyDescent="0.5">
      <c r="BC97" s="133"/>
      <c r="BD97" s="107"/>
    </row>
    <row r="98" spans="55:56" x14ac:dyDescent="0.5">
      <c r="BC98" s="133"/>
      <c r="BD98" s="107"/>
    </row>
    <row r="99" spans="55:56" x14ac:dyDescent="0.5">
      <c r="BC99" s="133"/>
      <c r="BD99" s="107"/>
    </row>
    <row r="100" spans="55:56" x14ac:dyDescent="0.5">
      <c r="BC100" s="133"/>
      <c r="BD100" s="107"/>
    </row>
    <row r="101" spans="55:56" x14ac:dyDescent="0.5">
      <c r="BC101" s="133"/>
      <c r="BD101" s="107"/>
    </row>
    <row r="102" spans="55:56" x14ac:dyDescent="0.5">
      <c r="BC102" s="133"/>
      <c r="BD102" s="107"/>
    </row>
    <row r="103" spans="55:56" x14ac:dyDescent="0.5">
      <c r="BC103" s="133"/>
      <c r="BD103" s="107"/>
    </row>
    <row r="104" spans="55:56" x14ac:dyDescent="0.5">
      <c r="BC104" s="133"/>
      <c r="BD104" s="107"/>
    </row>
    <row r="105" spans="55:56" x14ac:dyDescent="0.5">
      <c r="BC105" s="133"/>
      <c r="BD105" s="107"/>
    </row>
    <row r="106" spans="55:56" x14ac:dyDescent="0.5">
      <c r="BC106" s="133"/>
      <c r="BD106" s="107"/>
    </row>
    <row r="107" spans="55:56" x14ac:dyDescent="0.5">
      <c r="BC107" s="133"/>
      <c r="BD107" s="107"/>
    </row>
    <row r="108" spans="55:56" x14ac:dyDescent="0.5">
      <c r="BC108" s="133"/>
      <c r="BD108" s="107"/>
    </row>
    <row r="109" spans="55:56" x14ac:dyDescent="0.5">
      <c r="BC109" s="133"/>
      <c r="BD109" s="107"/>
    </row>
    <row r="110" spans="55:56" x14ac:dyDescent="0.5">
      <c r="BC110" s="133"/>
      <c r="BD110" s="107"/>
    </row>
    <row r="111" spans="55:56" x14ac:dyDescent="0.5">
      <c r="BC111" s="133"/>
      <c r="BD111" s="107"/>
    </row>
    <row r="112" spans="55:56" x14ac:dyDescent="0.5">
      <c r="BC112" s="133"/>
      <c r="BD112" s="107"/>
    </row>
    <row r="113" spans="55:56" x14ac:dyDescent="0.5">
      <c r="BC113" s="133"/>
      <c r="BD113" s="107"/>
    </row>
    <row r="114" spans="55:56" x14ac:dyDescent="0.5">
      <c r="BC114" s="133"/>
      <c r="BD114" s="107"/>
    </row>
    <row r="115" spans="55:56" x14ac:dyDescent="0.5">
      <c r="BC115" s="133"/>
      <c r="BD115" s="107"/>
    </row>
    <row r="116" spans="55:56" x14ac:dyDescent="0.5">
      <c r="BC116" s="133"/>
      <c r="BD116" s="107"/>
    </row>
    <row r="117" spans="55:56" x14ac:dyDescent="0.5">
      <c r="BC117" s="133"/>
      <c r="BD117" s="107"/>
    </row>
    <row r="118" spans="55:56" x14ac:dyDescent="0.5">
      <c r="BC118" s="133"/>
      <c r="BD118" s="107"/>
    </row>
    <row r="119" spans="55:56" x14ac:dyDescent="0.5">
      <c r="BC119" s="133"/>
      <c r="BD119" s="107"/>
    </row>
    <row r="120" spans="55:56" x14ac:dyDescent="0.5">
      <c r="BC120" s="133"/>
      <c r="BD120" s="107"/>
    </row>
    <row r="121" spans="55:56" x14ac:dyDescent="0.5">
      <c r="BC121" s="133"/>
      <c r="BD121" s="107"/>
    </row>
    <row r="122" spans="55:56" x14ac:dyDescent="0.5">
      <c r="BC122" s="133"/>
      <c r="BD122" s="107"/>
    </row>
    <row r="123" spans="55:56" x14ac:dyDescent="0.5">
      <c r="BC123" s="133"/>
      <c r="BD123" s="107"/>
    </row>
    <row r="124" spans="55:56" x14ac:dyDescent="0.5">
      <c r="BC124" s="133"/>
      <c r="BD124" s="107"/>
    </row>
    <row r="125" spans="55:56" x14ac:dyDescent="0.5">
      <c r="BC125" s="133"/>
      <c r="BD125" s="107"/>
    </row>
    <row r="126" spans="55:56" x14ac:dyDescent="0.5">
      <c r="BC126" s="133"/>
      <c r="BD126" s="107"/>
    </row>
    <row r="127" spans="55:56" x14ac:dyDescent="0.5">
      <c r="BC127" s="133"/>
      <c r="BD127" s="107"/>
    </row>
    <row r="128" spans="55:56" x14ac:dyDescent="0.5">
      <c r="BC128" s="133"/>
      <c r="BD128" s="107"/>
    </row>
    <row r="129" spans="55:64" x14ac:dyDescent="0.5">
      <c r="BC129" s="133"/>
      <c r="BD129" s="107"/>
    </row>
    <row r="130" spans="55:64" x14ac:dyDescent="0.5">
      <c r="BC130" s="133"/>
      <c r="BD130" s="107"/>
    </row>
    <row r="131" spans="55:64" x14ac:dyDescent="0.5">
      <c r="BC131" s="133"/>
      <c r="BD131" s="107"/>
    </row>
    <row r="132" spans="55:64" x14ac:dyDescent="0.5">
      <c r="BC132" s="133"/>
      <c r="BD132" s="107"/>
    </row>
    <row r="133" spans="55:64" x14ac:dyDescent="0.5">
      <c r="BC133" s="133"/>
      <c r="BD133" s="107"/>
    </row>
    <row r="134" spans="55:64" x14ac:dyDescent="0.5">
      <c r="BC134" s="133"/>
      <c r="BD134" s="107"/>
    </row>
    <row r="135" spans="55:64" x14ac:dyDescent="0.5">
      <c r="BC135" s="133"/>
      <c r="BD135" s="107"/>
      <c r="BL135" s="102" t="e">
        <f>(#REF!/15)*#REF!</f>
        <v>#REF!</v>
      </c>
    </row>
    <row r="136" spans="55:64" x14ac:dyDescent="0.5">
      <c r="BC136" s="133"/>
      <c r="BD136" s="107"/>
      <c r="BL136" s="102" t="e">
        <f>(#REF!/15)*#REF!</f>
        <v>#REF!</v>
      </c>
    </row>
    <row r="137" spans="55:64" x14ac:dyDescent="0.5">
      <c r="BC137" s="133"/>
      <c r="BD137" s="107"/>
      <c r="BL137" s="102" t="e">
        <f>(#REF!/15)*#REF!</f>
        <v>#REF!</v>
      </c>
    </row>
    <row r="138" spans="55:64" x14ac:dyDescent="0.5">
      <c r="BC138" s="133"/>
      <c r="BD138" s="107"/>
      <c r="BL138" s="102" t="e">
        <f>(#REF!/15)*#REF!</f>
        <v>#REF!</v>
      </c>
    </row>
    <row r="139" spans="55:64" x14ac:dyDescent="0.5">
      <c r="BC139" s="133"/>
      <c r="BD139" s="107"/>
      <c r="BL139" s="102" t="e">
        <f>(#REF!/15)*#REF!</f>
        <v>#REF!</v>
      </c>
    </row>
    <row r="140" spans="55:64" x14ac:dyDescent="0.5">
      <c r="BC140" s="133"/>
      <c r="BD140" s="107"/>
      <c r="BL140" s="102" t="e">
        <f>(#REF!/15)*#REF!</f>
        <v>#REF!</v>
      </c>
    </row>
    <row r="141" spans="55:64" x14ac:dyDescent="0.5">
      <c r="BC141" s="133"/>
      <c r="BD141" s="107"/>
      <c r="BL141" s="102" t="e">
        <f>(#REF!/15)*#REF!</f>
        <v>#REF!</v>
      </c>
    </row>
    <row r="142" spans="55:64" x14ac:dyDescent="0.5">
      <c r="BC142" s="133"/>
      <c r="BD142" s="107"/>
      <c r="BL142" s="102" t="e">
        <f>(#REF!/15)*#REF!</f>
        <v>#REF!</v>
      </c>
    </row>
    <row r="143" spans="55:64" x14ac:dyDescent="0.5">
      <c r="BC143" s="133"/>
      <c r="BD143" s="107"/>
      <c r="BL143" s="102" t="e">
        <f>(#REF!/15)*#REF!</f>
        <v>#REF!</v>
      </c>
    </row>
    <row r="144" spans="55:64" x14ac:dyDescent="0.5">
      <c r="BC144" s="133"/>
      <c r="BD144" s="107"/>
      <c r="BL144" s="102" t="e">
        <f>(#REF!/15)*#REF!</f>
        <v>#REF!</v>
      </c>
    </row>
    <row r="145" spans="55:64" x14ac:dyDescent="0.5">
      <c r="BC145" s="133"/>
      <c r="BD145" s="107"/>
      <c r="BL145" s="102" t="e">
        <f>(#REF!/15)*#REF!</f>
        <v>#REF!</v>
      </c>
    </row>
    <row r="146" spans="55:64" x14ac:dyDescent="0.5">
      <c r="BC146" s="133"/>
      <c r="BD146" s="107"/>
      <c r="BL146" s="102" t="e">
        <f>(#REF!/15)*#REF!</f>
        <v>#REF!</v>
      </c>
    </row>
    <row r="147" spans="55:64" x14ac:dyDescent="0.5">
      <c r="BC147" s="133"/>
      <c r="BD147" s="107"/>
      <c r="BL147" s="102" t="e">
        <f>(#REF!/15)*#REF!</f>
        <v>#REF!</v>
      </c>
    </row>
    <row r="148" spans="55:64" x14ac:dyDescent="0.5">
      <c r="BC148" s="133"/>
      <c r="BD148" s="107"/>
      <c r="BL148" s="102" t="e">
        <f>(#REF!/15)*#REF!</f>
        <v>#REF!</v>
      </c>
    </row>
    <row r="149" spans="55:64" x14ac:dyDescent="0.5">
      <c r="BC149" s="133"/>
      <c r="BD149" s="107"/>
      <c r="BL149" s="102" t="e">
        <f>(#REF!/15)*#REF!</f>
        <v>#REF!</v>
      </c>
    </row>
    <row r="150" spans="55:64" x14ac:dyDescent="0.5">
      <c r="BC150" s="133"/>
      <c r="BD150" s="107"/>
    </row>
    <row r="151" spans="55:64" x14ac:dyDescent="0.5">
      <c r="BC151" s="133"/>
      <c r="BD151" s="107"/>
    </row>
    <row r="152" spans="55:64" x14ac:dyDescent="0.5">
      <c r="BC152" s="133"/>
      <c r="BD152" s="107"/>
    </row>
    <row r="153" spans="55:64" x14ac:dyDescent="0.5">
      <c r="BC153" s="133"/>
      <c r="BD153" s="107"/>
    </row>
    <row r="154" spans="55:64" x14ac:dyDescent="0.5">
      <c r="BC154" s="133"/>
      <c r="BD154" s="107"/>
    </row>
    <row r="155" spans="55:64" x14ac:dyDescent="0.5">
      <c r="BC155" s="133"/>
      <c r="BD155" s="107"/>
    </row>
    <row r="156" spans="55:64" x14ac:dyDescent="0.5">
      <c r="BC156" s="133"/>
      <c r="BD156" s="107"/>
    </row>
  </sheetData>
  <mergeCells count="101">
    <mergeCell ref="AR2:AT2"/>
    <mergeCell ref="AK2:AN2"/>
    <mergeCell ref="AK3:AN3"/>
    <mergeCell ref="AP33:AU33"/>
    <mergeCell ref="AP36:AR36"/>
    <mergeCell ref="AS36:AU36"/>
    <mergeCell ref="AP37:AR37"/>
    <mergeCell ref="AS37:AU37"/>
    <mergeCell ref="AP38:AR38"/>
    <mergeCell ref="AS38:AU38"/>
    <mergeCell ref="BB7:BG7"/>
    <mergeCell ref="AP6:AW6"/>
    <mergeCell ref="AP31:AR31"/>
    <mergeCell ref="AP30:AR30"/>
    <mergeCell ref="AU30:AW30"/>
    <mergeCell ref="AS31:AT31"/>
    <mergeCell ref="AU31:AW31"/>
    <mergeCell ref="AS30:AT30"/>
    <mergeCell ref="E71:F71"/>
    <mergeCell ref="AP32:AU32"/>
    <mergeCell ref="B67:F67"/>
    <mergeCell ref="B68:F68"/>
    <mergeCell ref="B69:F69"/>
    <mergeCell ref="G66:J66"/>
    <mergeCell ref="G67:J67"/>
    <mergeCell ref="G68:J68"/>
    <mergeCell ref="G69:J69"/>
    <mergeCell ref="R65:U65"/>
    <mergeCell ref="V65:Y65"/>
    <mergeCell ref="Z65:AC65"/>
    <mergeCell ref="AD65:AG65"/>
    <mergeCell ref="B1:AG1"/>
    <mergeCell ref="J2:K2"/>
    <mergeCell ref="L2:N2"/>
    <mergeCell ref="J3:K3"/>
    <mergeCell ref="L3:N3"/>
    <mergeCell ref="M4:AG5"/>
    <mergeCell ref="B4:B6"/>
    <mergeCell ref="C4:H6"/>
    <mergeCell ref="I4:K5"/>
    <mergeCell ref="N65:Q65"/>
    <mergeCell ref="K64:L64"/>
    <mergeCell ref="B64:J64"/>
    <mergeCell ref="K65:M65"/>
    <mergeCell ref="K66:M66"/>
    <mergeCell ref="N66:O66"/>
    <mergeCell ref="P66:Q66"/>
    <mergeCell ref="B66:F66"/>
    <mergeCell ref="R68:S68"/>
    <mergeCell ref="T68:U68"/>
    <mergeCell ref="AD66:AE66"/>
    <mergeCell ref="AF66:AG66"/>
    <mergeCell ref="K67:M67"/>
    <mergeCell ref="N67:O67"/>
    <mergeCell ref="P67:Q67"/>
    <mergeCell ref="R67:S67"/>
    <mergeCell ref="T67:U67"/>
    <mergeCell ref="V67:W67"/>
    <mergeCell ref="X67:Y67"/>
    <mergeCell ref="Z67:AA67"/>
    <mergeCell ref="R66:S66"/>
    <mergeCell ref="T66:U66"/>
    <mergeCell ref="V66:W66"/>
    <mergeCell ref="X66:Y66"/>
    <mergeCell ref="K68:M68"/>
    <mergeCell ref="K69:M69"/>
    <mergeCell ref="K70:M70"/>
    <mergeCell ref="N68:O68"/>
    <mergeCell ref="P68:Q68"/>
    <mergeCell ref="V68:W68"/>
    <mergeCell ref="X68:Y68"/>
    <mergeCell ref="Z68:AA68"/>
    <mergeCell ref="AB68:AC68"/>
    <mergeCell ref="AD68:AE68"/>
    <mergeCell ref="N69:O69"/>
    <mergeCell ref="P69:Q69"/>
    <mergeCell ref="R69:S69"/>
    <mergeCell ref="T69:U69"/>
    <mergeCell ref="V69:W69"/>
    <mergeCell ref="N70:O70"/>
    <mergeCell ref="P70:Q70"/>
    <mergeCell ref="R70:S70"/>
    <mergeCell ref="T70:U70"/>
    <mergeCell ref="V70:W70"/>
    <mergeCell ref="Z69:AA69"/>
    <mergeCell ref="AB69:AC69"/>
    <mergeCell ref="AD69:AE69"/>
    <mergeCell ref="AF69:AG69"/>
    <mergeCell ref="X70:Y70"/>
    <mergeCell ref="X69:Y69"/>
    <mergeCell ref="Z70:AA70"/>
    <mergeCell ref="AB70:AC70"/>
    <mergeCell ref="AD70:AE70"/>
    <mergeCell ref="AF70:AG70"/>
    <mergeCell ref="AF68:AG68"/>
    <mergeCell ref="AB67:AC67"/>
    <mergeCell ref="AD67:AE67"/>
    <mergeCell ref="AF67:AG67"/>
    <mergeCell ref="Z66:AA66"/>
    <mergeCell ref="AB66:AC66"/>
    <mergeCell ref="AI6:AN6"/>
  </mergeCells>
  <phoneticPr fontId="8" type="noConversion"/>
  <printOptions horizontalCentered="1"/>
  <pageMargins left="0.25" right="0.25" top="0.25" bottom="0.25" header="0.25" footer="0.25"/>
  <pageSetup paperSize="66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Drop Down 9">
              <controlPr defaultSize="0" autoLine="0" autoPict="0">
                <anchor moveWithCells="1">
                  <from>
                    <xdr:col>41</xdr:col>
                    <xdr:colOff>466725</xdr:colOff>
                    <xdr:row>32</xdr:row>
                    <xdr:rowOff>314325</xdr:rowOff>
                  </from>
                  <to>
                    <xdr:col>46</xdr:col>
                    <xdr:colOff>9525</xdr:colOff>
                    <xdr:row>34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E31C1-A9AE-4254-9501-5F7A09E2F5EF}">
  <dimension ref="A4:N91"/>
  <sheetViews>
    <sheetView topLeftCell="A4" workbookViewId="0">
      <pane xSplit="7" ySplit="3" topLeftCell="H74" activePane="bottomRight" state="frozen"/>
      <selection activeCell="A4" sqref="A4"/>
      <selection pane="topRight" activeCell="H4" sqref="H4"/>
      <selection pane="bottomLeft" activeCell="A7" sqref="A7"/>
      <selection pane="bottomRight" activeCell="Q88" sqref="Q88"/>
    </sheetView>
  </sheetViews>
  <sheetFormatPr defaultRowHeight="24" x14ac:dyDescent="0.55000000000000004"/>
  <cols>
    <col min="1" max="7" width="9.140625" style="1"/>
    <col min="8" max="8" width="9.140625" style="2"/>
    <col min="9" max="9" width="13.7109375" style="27" customWidth="1"/>
    <col min="10" max="10" width="13.140625" style="2" customWidth="1"/>
    <col min="11" max="11" width="15.42578125" style="2" customWidth="1"/>
    <col min="12" max="12" width="13.140625" style="2" customWidth="1"/>
    <col min="13" max="13" width="13.85546875" style="2" bestFit="1" customWidth="1"/>
    <col min="14" max="14" width="15.28515625" style="1" customWidth="1"/>
    <col min="15" max="16384" width="9.140625" style="1"/>
  </cols>
  <sheetData>
    <row r="4" spans="1:14" x14ac:dyDescent="0.55000000000000004">
      <c r="A4" s="76" t="s">
        <v>0</v>
      </c>
      <c r="B4" s="79" t="s">
        <v>1</v>
      </c>
      <c r="C4" s="80"/>
      <c r="D4" s="80"/>
      <c r="E4" s="80"/>
      <c r="F4" s="80"/>
      <c r="G4" s="81"/>
      <c r="H4" s="91" t="s">
        <v>2</v>
      </c>
      <c r="I4" s="92" t="s">
        <v>158</v>
      </c>
      <c r="J4" s="93" t="s">
        <v>177</v>
      </c>
      <c r="K4" s="93"/>
      <c r="L4" s="93" t="s">
        <v>178</v>
      </c>
      <c r="M4" s="93"/>
      <c r="N4" s="89" t="s">
        <v>54</v>
      </c>
    </row>
    <row r="5" spans="1:14" x14ac:dyDescent="0.55000000000000004">
      <c r="A5" s="77"/>
      <c r="B5" s="82"/>
      <c r="C5" s="83"/>
      <c r="D5" s="83"/>
      <c r="E5" s="83"/>
      <c r="F5" s="83"/>
      <c r="G5" s="84"/>
      <c r="H5" s="91"/>
      <c r="I5" s="92"/>
      <c r="J5" s="5" t="s">
        <v>173</v>
      </c>
      <c r="K5" s="5" t="s">
        <v>174</v>
      </c>
      <c r="L5" s="5" t="s">
        <v>173</v>
      </c>
      <c r="M5" s="8" t="s">
        <v>174</v>
      </c>
      <c r="N5" s="90"/>
    </row>
    <row r="6" spans="1:14" x14ac:dyDescent="0.55000000000000004">
      <c r="A6" s="78"/>
      <c r="B6" s="85"/>
      <c r="C6" s="86"/>
      <c r="D6" s="86"/>
      <c r="E6" s="86"/>
      <c r="F6" s="86"/>
      <c r="G6" s="87"/>
      <c r="H6" s="91"/>
      <c r="I6" s="92"/>
      <c r="J6" s="6" t="s">
        <v>175</v>
      </c>
      <c r="K6" s="6" t="s">
        <v>176</v>
      </c>
      <c r="L6" s="6" t="s">
        <v>175</v>
      </c>
      <c r="M6" s="9" t="s">
        <v>176</v>
      </c>
      <c r="N6" s="6" t="s">
        <v>176</v>
      </c>
    </row>
    <row r="7" spans="1:14" ht="33" x14ac:dyDescent="0.55000000000000004">
      <c r="A7" s="14"/>
      <c r="B7" s="15"/>
      <c r="C7" s="15"/>
      <c r="D7" s="15"/>
      <c r="E7" s="15"/>
      <c r="F7" s="15"/>
      <c r="G7" s="16"/>
      <c r="H7" s="45"/>
      <c r="I7" s="63"/>
      <c r="N7" s="2"/>
    </row>
    <row r="8" spans="1:14" s="49" customFormat="1" x14ac:dyDescent="0.55000000000000004">
      <c r="A8" s="20">
        <v>1</v>
      </c>
      <c r="B8" s="21" t="s">
        <v>46</v>
      </c>
      <c r="C8" s="21"/>
      <c r="D8" s="21"/>
      <c r="E8" s="21"/>
      <c r="F8" s="21"/>
      <c r="G8" s="46"/>
      <c r="H8" s="50"/>
      <c r="I8" s="64"/>
      <c r="J8" s="51"/>
      <c r="K8" s="51">
        <f>K9+K10</f>
        <v>70750.680000000008</v>
      </c>
      <c r="L8" s="51"/>
      <c r="M8" s="51">
        <f>M9+M10</f>
        <v>62664.887999999999</v>
      </c>
      <c r="N8" s="52">
        <f>N9+N10</f>
        <v>133415.568</v>
      </c>
    </row>
    <row r="9" spans="1:14" s="4" customFormat="1" x14ac:dyDescent="0.55000000000000004">
      <c r="A9" s="37">
        <v>1.1000000000000001</v>
      </c>
      <c r="B9" s="38" t="s">
        <v>4</v>
      </c>
      <c r="C9" s="38"/>
      <c r="D9" s="38"/>
      <c r="E9" s="38"/>
      <c r="F9" s="38"/>
      <c r="G9" s="39"/>
      <c r="H9" s="10" t="s">
        <v>159</v>
      </c>
      <c r="I9" s="65">
        <f>27.28*14.82</f>
        <v>404.28960000000001</v>
      </c>
      <c r="J9" s="40"/>
      <c r="K9" s="40"/>
      <c r="L9" s="40">
        <v>80</v>
      </c>
      <c r="M9" s="40">
        <f>L9*I9</f>
        <v>32343.168000000001</v>
      </c>
      <c r="N9" s="53">
        <f>M9+K9</f>
        <v>32343.168000000001</v>
      </c>
    </row>
    <row r="10" spans="1:14" s="4" customFormat="1" x14ac:dyDescent="0.55000000000000004">
      <c r="A10" s="42">
        <v>1.2</v>
      </c>
      <c r="B10" s="43" t="s">
        <v>5</v>
      </c>
      <c r="C10" s="43"/>
      <c r="D10" s="43"/>
      <c r="E10" s="43"/>
      <c r="F10" s="43"/>
      <c r="G10" s="44"/>
      <c r="H10" s="11" t="s">
        <v>160</v>
      </c>
      <c r="I10" s="66">
        <f>I9*1.5</f>
        <v>606.43439999999998</v>
      </c>
      <c r="J10" s="55">
        <f>700/6</f>
        <v>116.66666666666667</v>
      </c>
      <c r="K10" s="55">
        <f>J10*I10</f>
        <v>70750.680000000008</v>
      </c>
      <c r="L10" s="55">
        <f>300/6</f>
        <v>50</v>
      </c>
      <c r="M10" s="55">
        <f>L10*I10</f>
        <v>30321.719999999998</v>
      </c>
      <c r="N10" s="56">
        <f>M10+K10</f>
        <v>101072.40000000001</v>
      </c>
    </row>
    <row r="11" spans="1:14" s="49" customFormat="1" x14ac:dyDescent="0.55000000000000004">
      <c r="A11" s="20">
        <v>2</v>
      </c>
      <c r="B11" s="21" t="s">
        <v>47</v>
      </c>
      <c r="C11" s="21"/>
      <c r="D11" s="21"/>
      <c r="E11" s="21"/>
      <c r="F11" s="21"/>
      <c r="G11" s="46"/>
      <c r="H11" s="50"/>
      <c r="I11" s="64"/>
      <c r="J11" s="51"/>
      <c r="K11" s="51">
        <f>SUM(K12:K26)</f>
        <v>121424.85200000001</v>
      </c>
      <c r="L11" s="51"/>
      <c r="M11" s="51">
        <f>SUM(M12:M26)</f>
        <v>109884.48500000002</v>
      </c>
      <c r="N11" s="52">
        <f>SUM(N12:N26)</f>
        <v>231309.337</v>
      </c>
    </row>
    <row r="12" spans="1:14" s="4" customFormat="1" x14ac:dyDescent="0.55000000000000004">
      <c r="A12" s="37">
        <v>2.1</v>
      </c>
      <c r="B12" s="38" t="s">
        <v>6</v>
      </c>
      <c r="C12" s="38"/>
      <c r="D12" s="38"/>
      <c r="E12" s="38"/>
      <c r="F12" s="38"/>
      <c r="G12" s="39"/>
      <c r="H12" s="10" t="s">
        <v>161</v>
      </c>
      <c r="I12" s="65">
        <v>27</v>
      </c>
      <c r="J12" s="40">
        <v>750</v>
      </c>
      <c r="K12" s="40">
        <f>J12*I12</f>
        <v>20250</v>
      </c>
      <c r="L12" s="40">
        <v>350</v>
      </c>
      <c r="M12" s="40">
        <f>L12*I12</f>
        <v>9450</v>
      </c>
      <c r="N12" s="53">
        <f>M12+K12</f>
        <v>29700</v>
      </c>
    </row>
    <row r="13" spans="1:14" s="4" customFormat="1" x14ac:dyDescent="0.55000000000000004">
      <c r="A13" s="37">
        <v>2.2000000000000002</v>
      </c>
      <c r="B13" s="38" t="s">
        <v>7</v>
      </c>
      <c r="C13" s="38"/>
      <c r="D13" s="38"/>
      <c r="E13" s="38"/>
      <c r="F13" s="38"/>
      <c r="G13" s="39"/>
      <c r="H13" s="10" t="s">
        <v>161</v>
      </c>
      <c r="I13" s="65"/>
      <c r="J13" s="40"/>
      <c r="K13" s="40"/>
      <c r="L13" s="40"/>
      <c r="M13" s="40">
        <f>M14+M15</f>
        <v>34650</v>
      </c>
      <c r="N13" s="57">
        <f>N14+N15</f>
        <v>34650</v>
      </c>
    </row>
    <row r="14" spans="1:14" s="34" customFormat="1" hidden="1" x14ac:dyDescent="0.55000000000000004">
      <c r="A14" s="30"/>
      <c r="B14" s="31" t="s">
        <v>162</v>
      </c>
      <c r="C14" s="31"/>
      <c r="D14" s="31"/>
      <c r="E14" s="31"/>
      <c r="F14" s="31"/>
      <c r="G14" s="32"/>
      <c r="H14" s="58" t="s">
        <v>160</v>
      </c>
      <c r="I14" s="67">
        <f>4*1.5*15</f>
        <v>90</v>
      </c>
      <c r="J14" s="35"/>
      <c r="K14" s="35"/>
      <c r="L14" s="35">
        <v>250</v>
      </c>
      <c r="M14" s="35">
        <f>L14*I14</f>
        <v>22500</v>
      </c>
      <c r="N14" s="59">
        <f>M14+K14</f>
        <v>22500</v>
      </c>
    </row>
    <row r="15" spans="1:14" s="34" customFormat="1" hidden="1" x14ac:dyDescent="0.55000000000000004">
      <c r="A15" s="30"/>
      <c r="B15" s="31" t="s">
        <v>163</v>
      </c>
      <c r="C15" s="31"/>
      <c r="D15" s="31"/>
      <c r="E15" s="31"/>
      <c r="F15" s="31"/>
      <c r="G15" s="32"/>
      <c r="H15" s="58" t="s">
        <v>161</v>
      </c>
      <c r="I15" s="67">
        <f>I12</f>
        <v>27</v>
      </c>
      <c r="J15" s="35"/>
      <c r="K15" s="35"/>
      <c r="L15" s="35">
        <v>450</v>
      </c>
      <c r="M15" s="35">
        <f>L15*I15</f>
        <v>12150</v>
      </c>
      <c r="N15" s="59">
        <f>M15+K15</f>
        <v>12150</v>
      </c>
    </row>
    <row r="16" spans="1:14" s="4" customFormat="1" x14ac:dyDescent="0.55000000000000004">
      <c r="A16" s="37">
        <v>2.2999999999999998</v>
      </c>
      <c r="B16" s="38" t="s">
        <v>8</v>
      </c>
      <c r="C16" s="38"/>
      <c r="D16" s="38"/>
      <c r="E16" s="38"/>
      <c r="F16" s="38"/>
      <c r="G16" s="39"/>
      <c r="H16" s="10" t="s">
        <v>170</v>
      </c>
      <c r="I16" s="65">
        <f>SUM(I17:I23)</f>
        <v>635.10699999999997</v>
      </c>
      <c r="J16" s="40"/>
      <c r="K16" s="40">
        <f>SUM(K17:K22)</f>
        <v>19688.316999999999</v>
      </c>
      <c r="L16" s="40"/>
      <c r="M16" s="40">
        <f>SUM(M17:M22)</f>
        <v>3175.5349999999999</v>
      </c>
      <c r="N16" s="57">
        <f>SUM(N17:N22)</f>
        <v>22863.851999999999</v>
      </c>
    </row>
    <row r="17" spans="1:14" s="34" customFormat="1" hidden="1" x14ac:dyDescent="0.55000000000000004">
      <c r="A17" s="30"/>
      <c r="B17" s="31" t="s">
        <v>164</v>
      </c>
      <c r="C17" s="31"/>
      <c r="D17" s="31"/>
      <c r="E17" s="31"/>
      <c r="F17" s="31"/>
      <c r="G17" s="32"/>
      <c r="H17" s="58" t="s">
        <v>170</v>
      </c>
      <c r="I17" s="67"/>
      <c r="J17" s="35">
        <v>31</v>
      </c>
      <c r="K17" s="35">
        <f>J17*I17</f>
        <v>0</v>
      </c>
      <c r="L17" s="35">
        <v>5</v>
      </c>
      <c r="M17" s="35">
        <f>L17*I17</f>
        <v>0</v>
      </c>
      <c r="N17" s="59">
        <f>M17+K17</f>
        <v>0</v>
      </c>
    </row>
    <row r="18" spans="1:14" s="34" customFormat="1" hidden="1" x14ac:dyDescent="0.55000000000000004">
      <c r="A18" s="30"/>
      <c r="B18" s="31" t="s">
        <v>165</v>
      </c>
      <c r="C18" s="31"/>
      <c r="D18" s="31"/>
      <c r="E18" s="31"/>
      <c r="F18" s="31"/>
      <c r="G18" s="32"/>
      <c r="H18" s="58" t="s">
        <v>170</v>
      </c>
      <c r="I18" s="67">
        <f>7.105+39.34+5.598</f>
        <v>52.043000000000006</v>
      </c>
      <c r="J18" s="35">
        <v>31</v>
      </c>
      <c r="K18" s="35">
        <f t="shared" ref="K18:K22" si="0">J18*I18</f>
        <v>1613.3330000000001</v>
      </c>
      <c r="L18" s="35">
        <v>5</v>
      </c>
      <c r="M18" s="35">
        <f t="shared" ref="M18:M22" si="1">L18*I18</f>
        <v>260.21500000000003</v>
      </c>
      <c r="N18" s="59">
        <f t="shared" ref="N18:N23" si="2">M18+K18</f>
        <v>1873.5480000000002</v>
      </c>
    </row>
    <row r="19" spans="1:14" s="34" customFormat="1" hidden="1" x14ac:dyDescent="0.55000000000000004">
      <c r="A19" s="30"/>
      <c r="B19" s="31" t="s">
        <v>166</v>
      </c>
      <c r="C19" s="31"/>
      <c r="D19" s="31"/>
      <c r="E19" s="31"/>
      <c r="F19" s="31"/>
      <c r="G19" s="32"/>
      <c r="H19" s="58" t="s">
        <v>170</v>
      </c>
      <c r="I19" s="67">
        <f>138.101+57.249</f>
        <v>195.35</v>
      </c>
      <c r="J19" s="35">
        <v>31</v>
      </c>
      <c r="K19" s="35">
        <f t="shared" si="0"/>
        <v>6055.8499999999995</v>
      </c>
      <c r="L19" s="35">
        <v>5</v>
      </c>
      <c r="M19" s="35">
        <f t="shared" si="1"/>
        <v>976.75</v>
      </c>
      <c r="N19" s="59">
        <f t="shared" si="2"/>
        <v>7032.5999999999995</v>
      </c>
    </row>
    <row r="20" spans="1:14" s="34" customFormat="1" hidden="1" x14ac:dyDescent="0.55000000000000004">
      <c r="A20" s="30"/>
      <c r="B20" s="31" t="s">
        <v>167</v>
      </c>
      <c r="C20" s="31"/>
      <c r="D20" s="31"/>
      <c r="E20" s="31"/>
      <c r="F20" s="31"/>
      <c r="G20" s="32"/>
      <c r="H20" s="58" t="s">
        <v>170</v>
      </c>
      <c r="I20" s="67">
        <v>387.714</v>
      </c>
      <c r="J20" s="35">
        <v>31</v>
      </c>
      <c r="K20" s="35">
        <f t="shared" si="0"/>
        <v>12019.134</v>
      </c>
      <c r="L20" s="35">
        <v>5</v>
      </c>
      <c r="M20" s="35">
        <f t="shared" si="1"/>
        <v>1938.57</v>
      </c>
      <c r="N20" s="59">
        <f t="shared" si="2"/>
        <v>13957.704</v>
      </c>
    </row>
    <row r="21" spans="1:14" s="34" customFormat="1" hidden="1" x14ac:dyDescent="0.55000000000000004">
      <c r="A21" s="30"/>
      <c r="B21" s="31" t="s">
        <v>168</v>
      </c>
      <c r="C21" s="31"/>
      <c r="D21" s="31"/>
      <c r="E21" s="31"/>
      <c r="F21" s="31"/>
      <c r="G21" s="32"/>
      <c r="H21" s="58" t="s">
        <v>170</v>
      </c>
      <c r="I21" s="67"/>
      <c r="J21" s="35">
        <v>31</v>
      </c>
      <c r="K21" s="35">
        <f t="shared" si="0"/>
        <v>0</v>
      </c>
      <c r="L21" s="35">
        <v>5</v>
      </c>
      <c r="M21" s="35">
        <f t="shared" si="1"/>
        <v>0</v>
      </c>
      <c r="N21" s="59">
        <f t="shared" si="2"/>
        <v>0</v>
      </c>
    </row>
    <row r="22" spans="1:14" s="34" customFormat="1" hidden="1" x14ac:dyDescent="0.55000000000000004">
      <c r="A22" s="30"/>
      <c r="B22" s="31" t="s">
        <v>169</v>
      </c>
      <c r="C22" s="31"/>
      <c r="D22" s="31"/>
      <c r="E22" s="31"/>
      <c r="F22" s="31"/>
      <c r="G22" s="32"/>
      <c r="H22" s="58" t="s">
        <v>170</v>
      </c>
      <c r="I22" s="67"/>
      <c r="J22" s="35">
        <v>31</v>
      </c>
      <c r="K22" s="35">
        <f t="shared" si="0"/>
        <v>0</v>
      </c>
      <c r="L22" s="35">
        <v>5</v>
      </c>
      <c r="M22" s="35">
        <f t="shared" si="1"/>
        <v>0</v>
      </c>
      <c r="N22" s="59">
        <f t="shared" si="2"/>
        <v>0</v>
      </c>
    </row>
    <row r="23" spans="1:14" s="4" customFormat="1" x14ac:dyDescent="0.55000000000000004">
      <c r="A23" s="37">
        <v>2.4</v>
      </c>
      <c r="B23" s="38" t="s">
        <v>9</v>
      </c>
      <c r="C23" s="38"/>
      <c r="D23" s="38"/>
      <c r="E23" s="38"/>
      <c r="F23" s="38"/>
      <c r="G23" s="39"/>
      <c r="H23" s="10" t="s">
        <v>29</v>
      </c>
      <c r="I23" s="65"/>
      <c r="J23" s="40"/>
      <c r="K23" s="40">
        <f>K24+K25</f>
        <v>17839.715250000001</v>
      </c>
      <c r="L23" s="40"/>
      <c r="M23" s="40">
        <f>M24+M25</f>
        <v>7903.8012499999995</v>
      </c>
      <c r="N23" s="53">
        <f t="shared" si="2"/>
        <v>25743.516500000002</v>
      </c>
    </row>
    <row r="24" spans="1:14" hidden="1" x14ac:dyDescent="0.55000000000000004">
      <c r="A24" s="24"/>
      <c r="B24" s="12" t="s">
        <v>171</v>
      </c>
      <c r="C24" s="12"/>
      <c r="D24" s="12"/>
      <c r="E24" s="12"/>
      <c r="F24" s="12"/>
      <c r="G24" s="19"/>
      <c r="H24" s="7" t="s">
        <v>159</v>
      </c>
      <c r="I24" s="68">
        <f>(0.65*4*0.45*4)+((1.3+1.3+0.65+0.65)*0.45*9)</f>
        <v>20.474999999999998</v>
      </c>
      <c r="J24" s="28">
        <v>300</v>
      </c>
      <c r="K24" s="28">
        <f>J24*I24</f>
        <v>6142.4999999999991</v>
      </c>
      <c r="L24" s="28">
        <v>250</v>
      </c>
      <c r="M24" s="28">
        <f>L24*I24</f>
        <v>5118.7499999999991</v>
      </c>
      <c r="N24" s="60">
        <f>M24+K24</f>
        <v>11261.249999999998</v>
      </c>
    </row>
    <row r="25" spans="1:14" hidden="1" x14ac:dyDescent="0.55000000000000004">
      <c r="A25" s="24"/>
      <c r="B25" s="12" t="s">
        <v>172</v>
      </c>
      <c r="C25" s="12"/>
      <c r="D25" s="12"/>
      <c r="E25" s="12"/>
      <c r="F25" s="12"/>
      <c r="G25" s="19"/>
      <c r="H25" s="7" t="s">
        <v>160</v>
      </c>
      <c r="I25" s="68">
        <f>(0.65*0.65*4)+(1.3*0.65*0.45*9)+(0.5*(1.53/2)*1.33*2*0.45)</f>
        <v>5.5701025000000008</v>
      </c>
      <c r="J25" s="28">
        <v>2100</v>
      </c>
      <c r="K25" s="28">
        <f>J25*I25</f>
        <v>11697.215250000001</v>
      </c>
      <c r="L25" s="28">
        <v>500</v>
      </c>
      <c r="M25" s="28">
        <f>L25*I25</f>
        <v>2785.0512500000004</v>
      </c>
      <c r="N25" s="60">
        <f>M25+K25</f>
        <v>14482.266500000002</v>
      </c>
    </row>
    <row r="26" spans="1:14" s="4" customFormat="1" x14ac:dyDescent="0.55000000000000004">
      <c r="A26" s="38">
        <v>2.5</v>
      </c>
      <c r="B26" s="38" t="s">
        <v>10</v>
      </c>
      <c r="C26" s="38"/>
      <c r="D26" s="38"/>
      <c r="E26" s="38"/>
      <c r="F26" s="38"/>
      <c r="G26" s="38"/>
      <c r="H26" s="3" t="s">
        <v>29</v>
      </c>
      <c r="I26" s="65"/>
      <c r="J26" s="40"/>
      <c r="K26" s="40">
        <f>SUM(K27:K30)</f>
        <v>26118.787500000002</v>
      </c>
      <c r="L26" s="40"/>
      <c r="M26" s="40">
        <f>SUM(M27:M30)</f>
        <v>8975.8125</v>
      </c>
      <c r="N26" s="40">
        <f>SUM(N27:N30)</f>
        <v>35094.600000000006</v>
      </c>
    </row>
    <row r="27" spans="1:14" s="34" customFormat="1" hidden="1" x14ac:dyDescent="0.55000000000000004">
      <c r="A27" s="30"/>
      <c r="B27" s="31" t="s">
        <v>165</v>
      </c>
      <c r="C27" s="31"/>
      <c r="D27" s="31"/>
      <c r="E27" s="31"/>
      <c r="F27" s="31"/>
      <c r="G27" s="32"/>
      <c r="H27" s="58" t="s">
        <v>170</v>
      </c>
      <c r="I27" s="67">
        <f>15*(1.5/0.2)*(0.25*4)*0.499</f>
        <v>56.137500000000003</v>
      </c>
      <c r="J27" s="35">
        <v>31</v>
      </c>
      <c r="K27" s="35">
        <f t="shared" ref="K27:K30" si="3">J27*I27</f>
        <v>1740.2625</v>
      </c>
      <c r="L27" s="35">
        <v>5</v>
      </c>
      <c r="M27" s="35">
        <f t="shared" ref="M27:M30" si="4">L27*I27</f>
        <v>280.6875</v>
      </c>
      <c r="N27" s="59">
        <f t="shared" ref="N27:N30" si="5">M27+K27</f>
        <v>2020.95</v>
      </c>
    </row>
    <row r="28" spans="1:14" s="34" customFormat="1" hidden="1" x14ac:dyDescent="0.55000000000000004">
      <c r="A28" s="30"/>
      <c r="B28" s="31" t="s">
        <v>167</v>
      </c>
      <c r="C28" s="31"/>
      <c r="D28" s="31"/>
      <c r="E28" s="31"/>
      <c r="F28" s="31"/>
      <c r="G28" s="32"/>
      <c r="H28" s="58" t="s">
        <v>170</v>
      </c>
      <c r="I28" s="67">
        <f>15*(2.5*1.578*8)</f>
        <v>473.40000000000003</v>
      </c>
      <c r="J28" s="35">
        <v>31</v>
      </c>
      <c r="K28" s="35">
        <f t="shared" si="3"/>
        <v>14675.400000000001</v>
      </c>
      <c r="L28" s="35">
        <v>5</v>
      </c>
      <c r="M28" s="35">
        <f t="shared" si="4"/>
        <v>2367</v>
      </c>
      <c r="N28" s="59">
        <f t="shared" si="5"/>
        <v>17042.400000000001</v>
      </c>
    </row>
    <row r="29" spans="1:14" s="34" customFormat="1" hidden="1" x14ac:dyDescent="0.55000000000000004">
      <c r="A29" s="30"/>
      <c r="B29" s="31" t="s">
        <v>179</v>
      </c>
      <c r="C29" s="31"/>
      <c r="D29" s="31"/>
      <c r="E29" s="31"/>
      <c r="F29" s="31"/>
      <c r="G29" s="32"/>
      <c r="H29" s="33" t="s">
        <v>159</v>
      </c>
      <c r="I29" s="67">
        <f>0.25*4*1.5*15</f>
        <v>22.5</v>
      </c>
      <c r="J29" s="35">
        <v>300</v>
      </c>
      <c r="K29" s="35">
        <f t="shared" si="3"/>
        <v>6750</v>
      </c>
      <c r="L29" s="35">
        <v>250</v>
      </c>
      <c r="M29" s="35">
        <f t="shared" si="4"/>
        <v>5625</v>
      </c>
      <c r="N29" s="36">
        <f t="shared" si="5"/>
        <v>12375</v>
      </c>
    </row>
    <row r="30" spans="1:14" s="34" customFormat="1" hidden="1" x14ac:dyDescent="0.55000000000000004">
      <c r="A30" s="30"/>
      <c r="B30" s="31" t="s">
        <v>181</v>
      </c>
      <c r="C30" s="31"/>
      <c r="D30" s="31"/>
      <c r="E30" s="31"/>
      <c r="F30" s="31"/>
      <c r="G30" s="32"/>
      <c r="H30" s="33" t="s">
        <v>160</v>
      </c>
      <c r="I30" s="67">
        <f>0.25*0.25*1.5*15</f>
        <v>1.40625</v>
      </c>
      <c r="J30" s="35">
        <v>2100</v>
      </c>
      <c r="K30" s="35">
        <f t="shared" si="3"/>
        <v>2953.125</v>
      </c>
      <c r="L30" s="35">
        <v>500</v>
      </c>
      <c r="M30" s="35">
        <f t="shared" si="4"/>
        <v>703.125</v>
      </c>
      <c r="N30" s="36">
        <f t="shared" si="5"/>
        <v>3656.25</v>
      </c>
    </row>
    <row r="31" spans="1:14" s="49" customFormat="1" x14ac:dyDescent="0.55000000000000004">
      <c r="A31" s="61">
        <v>3</v>
      </c>
      <c r="B31" s="62" t="s">
        <v>48</v>
      </c>
      <c r="C31" s="62"/>
      <c r="D31" s="62"/>
      <c r="E31" s="62"/>
      <c r="F31" s="62"/>
      <c r="G31" s="74"/>
      <c r="H31" s="47"/>
      <c r="I31" s="75"/>
      <c r="J31" s="48"/>
      <c r="K31" s="48">
        <f>K32+K40+K41+K42+K43+K44+K48+K51</f>
        <v>338854.79199999996</v>
      </c>
      <c r="L31" s="48"/>
      <c r="M31" s="48">
        <f>M32+M40+M41+M42+M43+M44+M48+M51</f>
        <v>101616.16</v>
      </c>
      <c r="N31" s="48">
        <f>N32+N40+N41+N42+N43+N44+N48+N51</f>
        <v>440470.95199999999</v>
      </c>
    </row>
    <row r="32" spans="1:14" s="4" customFormat="1" x14ac:dyDescent="0.55000000000000004">
      <c r="A32" s="37">
        <v>3.1</v>
      </c>
      <c r="B32" s="38" t="s">
        <v>11</v>
      </c>
      <c r="C32" s="38"/>
      <c r="D32" s="38"/>
      <c r="E32" s="38"/>
      <c r="F32" s="38"/>
      <c r="G32" s="39"/>
      <c r="H32" s="3"/>
      <c r="I32" s="69"/>
      <c r="J32" s="40"/>
      <c r="K32" s="40">
        <f>SUM(K33:K39)</f>
        <v>196011.72</v>
      </c>
      <c r="L32" s="40"/>
      <c r="M32" s="40">
        <f>SUM(M33:M39)</f>
        <v>33870.6</v>
      </c>
      <c r="N32" s="70">
        <f t="shared" ref="N32:N33" si="6">M32+K32</f>
        <v>229882.32</v>
      </c>
    </row>
    <row r="33" spans="1:14" hidden="1" x14ac:dyDescent="0.55000000000000004">
      <c r="A33" s="24"/>
      <c r="B33" s="12" t="s">
        <v>180</v>
      </c>
      <c r="C33" s="12"/>
      <c r="D33" s="12"/>
      <c r="E33" s="12"/>
      <c r="F33" s="12"/>
      <c r="G33" s="19"/>
      <c r="H33" s="2" t="s">
        <v>160</v>
      </c>
      <c r="I33" s="27">
        <f>((11*4)+(8*5))*0.1*0.45</f>
        <v>3.7800000000000002</v>
      </c>
      <c r="J33" s="28">
        <v>1850</v>
      </c>
      <c r="K33" s="28">
        <f>J33*I33</f>
        <v>6993.0000000000009</v>
      </c>
      <c r="L33" s="28">
        <v>250</v>
      </c>
      <c r="M33" s="28">
        <f>L33*I33</f>
        <v>945.00000000000011</v>
      </c>
      <c r="N33" s="36">
        <f t="shared" si="6"/>
        <v>7938.0000000000009</v>
      </c>
    </row>
    <row r="34" spans="1:14" s="34" customFormat="1" hidden="1" x14ac:dyDescent="0.55000000000000004">
      <c r="A34" s="30"/>
      <c r="B34" s="31" t="s">
        <v>164</v>
      </c>
      <c r="C34" s="31"/>
      <c r="D34" s="31"/>
      <c r="E34" s="31"/>
      <c r="F34" s="31"/>
      <c r="G34" s="32"/>
      <c r="H34" s="58" t="s">
        <v>170</v>
      </c>
      <c r="I34" s="67">
        <f>(0.3+0.3+0.6+0.6)*(1/0.1)*(8*5)*0.222</f>
        <v>159.84</v>
      </c>
      <c r="J34" s="35">
        <v>31</v>
      </c>
      <c r="K34" s="35">
        <f>J34*I34</f>
        <v>4955.04</v>
      </c>
      <c r="L34" s="35">
        <v>5</v>
      </c>
      <c r="M34" s="35">
        <f>L34*I34</f>
        <v>799.2</v>
      </c>
      <c r="N34" s="59">
        <f>M34+K34</f>
        <v>5754.24</v>
      </c>
    </row>
    <row r="35" spans="1:14" s="34" customFormat="1" hidden="1" x14ac:dyDescent="0.55000000000000004">
      <c r="A35" s="30"/>
      <c r="B35" s="31" t="s">
        <v>165</v>
      </c>
      <c r="C35" s="31"/>
      <c r="D35" s="31"/>
      <c r="E35" s="31"/>
      <c r="F35" s="31"/>
      <c r="G35" s="32"/>
      <c r="H35" s="58" t="s">
        <v>170</v>
      </c>
      <c r="I35" s="67">
        <f>(0.3+0.3+0.6+0.6)*(1/0.15)*(8*5)*0.499</f>
        <v>239.52</v>
      </c>
      <c r="J35" s="35">
        <v>31</v>
      </c>
      <c r="K35" s="35">
        <f t="shared" ref="K35:K40" si="7">J35*I35</f>
        <v>7425.12</v>
      </c>
      <c r="L35" s="35">
        <v>5</v>
      </c>
      <c r="M35" s="35">
        <f t="shared" ref="M35:M40" si="8">L35*I35</f>
        <v>1197.6000000000001</v>
      </c>
      <c r="N35" s="59">
        <f t="shared" ref="N35:N40" si="9">M35+K35</f>
        <v>8622.7199999999993</v>
      </c>
    </row>
    <row r="36" spans="1:14" s="34" customFormat="1" hidden="1" x14ac:dyDescent="0.55000000000000004">
      <c r="A36" s="30"/>
      <c r="B36" s="31" t="s">
        <v>166</v>
      </c>
      <c r="C36" s="31"/>
      <c r="D36" s="31"/>
      <c r="E36" s="31"/>
      <c r="F36" s="31"/>
      <c r="G36" s="32"/>
      <c r="H36" s="58" t="s">
        <v>170</v>
      </c>
      <c r="I36" s="67">
        <f>(11*4)*5*11*0.888</f>
        <v>2148.96</v>
      </c>
      <c r="J36" s="35">
        <v>31</v>
      </c>
      <c r="K36" s="35">
        <f t="shared" si="7"/>
        <v>66617.759999999995</v>
      </c>
      <c r="L36" s="35">
        <v>5</v>
      </c>
      <c r="M36" s="35">
        <f t="shared" si="8"/>
        <v>10744.8</v>
      </c>
      <c r="N36" s="59">
        <f t="shared" si="9"/>
        <v>77362.559999999998</v>
      </c>
    </row>
    <row r="37" spans="1:14" s="34" customFormat="1" hidden="1" x14ac:dyDescent="0.55000000000000004">
      <c r="A37" s="30"/>
      <c r="B37" s="31" t="s">
        <v>167</v>
      </c>
      <c r="C37" s="31"/>
      <c r="D37" s="31"/>
      <c r="E37" s="31"/>
      <c r="F37" s="31"/>
      <c r="G37" s="32"/>
      <c r="H37" s="58" t="s">
        <v>170</v>
      </c>
      <c r="I37" s="67">
        <f>(8*5)*5*8*1.578</f>
        <v>2524.8000000000002</v>
      </c>
      <c r="J37" s="35">
        <v>31</v>
      </c>
      <c r="K37" s="35">
        <f t="shared" si="7"/>
        <v>78268.800000000003</v>
      </c>
      <c r="L37" s="35">
        <v>5</v>
      </c>
      <c r="M37" s="35">
        <f t="shared" si="8"/>
        <v>12624</v>
      </c>
      <c r="N37" s="59">
        <f t="shared" si="9"/>
        <v>90892.800000000003</v>
      </c>
    </row>
    <row r="38" spans="1:14" s="34" customFormat="1" hidden="1" x14ac:dyDescent="0.55000000000000004">
      <c r="A38" s="30"/>
      <c r="B38" s="31" t="s">
        <v>168</v>
      </c>
      <c r="C38" s="31"/>
      <c r="D38" s="31"/>
      <c r="E38" s="31"/>
      <c r="F38" s="31"/>
      <c r="G38" s="32"/>
      <c r="H38" s="58" t="s">
        <v>170</v>
      </c>
      <c r="I38" s="67"/>
      <c r="J38" s="35">
        <v>31</v>
      </c>
      <c r="K38" s="35">
        <f t="shared" si="7"/>
        <v>0</v>
      </c>
      <c r="L38" s="35">
        <v>5</v>
      </c>
      <c r="M38" s="35">
        <f t="shared" si="8"/>
        <v>0</v>
      </c>
      <c r="N38" s="59">
        <f t="shared" si="9"/>
        <v>0</v>
      </c>
    </row>
    <row r="39" spans="1:14" hidden="1" x14ac:dyDescent="0.55000000000000004">
      <c r="A39" s="24"/>
      <c r="B39" s="12" t="s">
        <v>181</v>
      </c>
      <c r="C39" s="12"/>
      <c r="D39" s="12"/>
      <c r="E39" s="12"/>
      <c r="F39" s="12"/>
      <c r="G39" s="19"/>
      <c r="H39" s="2" t="s">
        <v>160</v>
      </c>
      <c r="I39" s="27">
        <f>((8*5)+(11*4)) *(0.3*0.6)</f>
        <v>15.12</v>
      </c>
      <c r="J39" s="28">
        <v>2100</v>
      </c>
      <c r="K39" s="28">
        <f t="shared" si="7"/>
        <v>31752</v>
      </c>
      <c r="L39" s="28">
        <v>500</v>
      </c>
      <c r="M39" s="28">
        <f t="shared" si="8"/>
        <v>7560</v>
      </c>
      <c r="N39" s="29">
        <f t="shared" si="9"/>
        <v>39312</v>
      </c>
    </row>
    <row r="40" spans="1:14" s="4" customFormat="1" x14ac:dyDescent="0.55000000000000004">
      <c r="A40" s="37">
        <v>3.2</v>
      </c>
      <c r="B40" s="38" t="s">
        <v>12</v>
      </c>
      <c r="C40" s="38"/>
      <c r="D40" s="38"/>
      <c r="E40" s="38"/>
      <c r="F40" s="38"/>
      <c r="G40" s="39"/>
      <c r="H40" s="3" t="s">
        <v>159</v>
      </c>
      <c r="I40" s="69">
        <f>1.6*3.6</f>
        <v>5.7600000000000007</v>
      </c>
      <c r="J40" s="40">
        <v>750</v>
      </c>
      <c r="K40" s="40">
        <f t="shared" si="7"/>
        <v>4320.0000000000009</v>
      </c>
      <c r="L40" s="40">
        <v>250</v>
      </c>
      <c r="M40" s="40">
        <f t="shared" si="8"/>
        <v>1440.0000000000002</v>
      </c>
      <c r="N40" s="41">
        <f t="shared" si="9"/>
        <v>5760.0000000000009</v>
      </c>
    </row>
    <row r="41" spans="1:14" s="4" customFormat="1" x14ac:dyDescent="0.55000000000000004">
      <c r="A41" s="37">
        <v>3.3</v>
      </c>
      <c r="B41" s="38" t="s">
        <v>20</v>
      </c>
      <c r="C41" s="38"/>
      <c r="D41" s="38"/>
      <c r="E41" s="38"/>
      <c r="F41" s="38"/>
      <c r="G41" s="39"/>
      <c r="H41" s="3" t="s">
        <v>159</v>
      </c>
      <c r="I41" s="69">
        <f>0.6*((8*5)+(11*4))</f>
        <v>50.4</v>
      </c>
      <c r="J41" s="40">
        <v>300</v>
      </c>
      <c r="K41" s="71">
        <f t="shared" ref="K41:K47" si="10">J41*I41</f>
        <v>15120</v>
      </c>
      <c r="L41" s="40">
        <v>250</v>
      </c>
      <c r="M41" s="71">
        <f t="shared" ref="M41:M47" si="11">L41*I41</f>
        <v>12600</v>
      </c>
      <c r="N41" s="72">
        <f t="shared" ref="N41:N47" si="12">M41+K41</f>
        <v>27720</v>
      </c>
    </row>
    <row r="42" spans="1:14" s="4" customFormat="1" x14ac:dyDescent="0.55000000000000004">
      <c r="A42" s="37">
        <v>3.4</v>
      </c>
      <c r="B42" s="38" t="s">
        <v>13</v>
      </c>
      <c r="C42" s="38"/>
      <c r="D42" s="38"/>
      <c r="E42" s="38"/>
      <c r="F42" s="38"/>
      <c r="G42" s="39"/>
      <c r="H42" s="3" t="s">
        <v>159</v>
      </c>
      <c r="I42" s="69">
        <f>8*11</f>
        <v>88</v>
      </c>
      <c r="J42" s="40">
        <v>450</v>
      </c>
      <c r="K42" s="40">
        <f t="shared" si="10"/>
        <v>39600</v>
      </c>
      <c r="L42" s="40">
        <v>150</v>
      </c>
      <c r="M42" s="40">
        <f t="shared" si="11"/>
        <v>13200</v>
      </c>
      <c r="N42" s="41">
        <f t="shared" si="12"/>
        <v>52800</v>
      </c>
    </row>
    <row r="43" spans="1:14" s="4" customFormat="1" x14ac:dyDescent="0.55000000000000004">
      <c r="A43" s="37">
        <v>3.5</v>
      </c>
      <c r="B43" s="38" t="s">
        <v>60</v>
      </c>
      <c r="C43" s="38"/>
      <c r="D43" s="38"/>
      <c r="E43" s="38"/>
      <c r="F43" s="38"/>
      <c r="G43" s="39"/>
      <c r="H43" s="3" t="s">
        <v>159</v>
      </c>
      <c r="I43" s="69">
        <f>1.6*3.6</f>
        <v>5.7600000000000007</v>
      </c>
      <c r="J43" s="40">
        <v>250</v>
      </c>
      <c r="K43" s="40">
        <f t="shared" si="10"/>
        <v>1440.0000000000002</v>
      </c>
      <c r="L43" s="40">
        <v>200</v>
      </c>
      <c r="M43" s="40">
        <f t="shared" si="11"/>
        <v>1152.0000000000002</v>
      </c>
      <c r="N43" s="41">
        <f t="shared" si="12"/>
        <v>2592.0000000000005</v>
      </c>
    </row>
    <row r="44" spans="1:14" s="4" customFormat="1" x14ac:dyDescent="0.55000000000000004">
      <c r="A44" s="37">
        <v>3.6</v>
      </c>
      <c r="B44" s="38" t="s">
        <v>24</v>
      </c>
      <c r="C44" s="38"/>
      <c r="D44" s="38"/>
      <c r="E44" s="38"/>
      <c r="F44" s="38"/>
      <c r="G44" s="39"/>
      <c r="H44" s="3"/>
      <c r="I44" s="69"/>
      <c r="J44" s="40"/>
      <c r="K44" s="40">
        <f>SUM(K45:K47)</f>
        <v>46816</v>
      </c>
      <c r="L44" s="40"/>
      <c r="M44" s="40">
        <f>SUM(M45:M47)</f>
        <v>28600</v>
      </c>
      <c r="N44" s="40">
        <f>SUM(N45:N47)</f>
        <v>75416</v>
      </c>
    </row>
    <row r="45" spans="1:14" s="34" customFormat="1" hidden="1" x14ac:dyDescent="0.55000000000000004">
      <c r="A45" s="30"/>
      <c r="B45" s="31" t="s">
        <v>182</v>
      </c>
      <c r="C45" s="31"/>
      <c r="D45" s="31"/>
      <c r="E45" s="31"/>
      <c r="F45" s="31"/>
      <c r="G45" s="32"/>
      <c r="H45" s="33" t="s">
        <v>159</v>
      </c>
      <c r="I45" s="73">
        <f>I42</f>
        <v>88</v>
      </c>
      <c r="J45" s="35">
        <v>400</v>
      </c>
      <c r="K45" s="35">
        <f t="shared" si="10"/>
        <v>35200</v>
      </c>
      <c r="L45" s="35">
        <v>175</v>
      </c>
      <c r="M45" s="35">
        <f t="shared" si="11"/>
        <v>15400</v>
      </c>
      <c r="N45" s="36">
        <f t="shared" si="12"/>
        <v>50600</v>
      </c>
    </row>
    <row r="46" spans="1:14" s="34" customFormat="1" hidden="1" x14ac:dyDescent="0.55000000000000004">
      <c r="A46" s="30"/>
      <c r="B46" s="31" t="s">
        <v>183</v>
      </c>
      <c r="C46" s="31"/>
      <c r="D46" s="31"/>
      <c r="E46" s="31"/>
      <c r="F46" s="31"/>
      <c r="G46" s="32"/>
      <c r="H46" s="33" t="s">
        <v>159</v>
      </c>
      <c r="I46" s="73">
        <f>I42</f>
        <v>88</v>
      </c>
      <c r="J46" s="35">
        <v>27</v>
      </c>
      <c r="K46" s="35">
        <f t="shared" si="10"/>
        <v>2376</v>
      </c>
      <c r="L46" s="35">
        <v>150</v>
      </c>
      <c r="M46" s="35">
        <f t="shared" si="11"/>
        <v>13200</v>
      </c>
      <c r="N46" s="36">
        <f t="shared" si="12"/>
        <v>15576</v>
      </c>
    </row>
    <row r="47" spans="1:14" s="34" customFormat="1" hidden="1" x14ac:dyDescent="0.55000000000000004">
      <c r="A47" s="30"/>
      <c r="B47" s="31" t="s">
        <v>184</v>
      </c>
      <c r="C47" s="31"/>
      <c r="D47" s="31"/>
      <c r="E47" s="31"/>
      <c r="F47" s="31"/>
      <c r="G47" s="32"/>
      <c r="H47" s="33" t="s">
        <v>160</v>
      </c>
      <c r="I47" s="73">
        <f>I46*0.05</f>
        <v>4.4000000000000004</v>
      </c>
      <c r="J47" s="35">
        <v>2100</v>
      </c>
      <c r="K47" s="35">
        <f t="shared" si="10"/>
        <v>9240</v>
      </c>
      <c r="L47" s="35"/>
      <c r="M47" s="35">
        <f t="shared" si="11"/>
        <v>0</v>
      </c>
      <c r="N47" s="36">
        <f t="shared" si="12"/>
        <v>9240</v>
      </c>
    </row>
    <row r="48" spans="1:14" s="4" customFormat="1" x14ac:dyDescent="0.55000000000000004">
      <c r="A48" s="37">
        <v>3.7</v>
      </c>
      <c r="B48" s="38" t="s">
        <v>14</v>
      </c>
      <c r="C48" s="38"/>
      <c r="D48" s="38"/>
      <c r="E48" s="38"/>
      <c r="F48" s="38"/>
      <c r="G48" s="39"/>
      <c r="H48" s="3"/>
      <c r="I48" s="69"/>
      <c r="J48" s="40"/>
      <c r="K48" s="40">
        <f>K49+K50</f>
        <v>22497.072000000004</v>
      </c>
      <c r="L48" s="40"/>
      <c r="M48" s="40">
        <f>M49+M50</f>
        <v>3628.5600000000009</v>
      </c>
      <c r="N48" s="40">
        <f>N49+N50</f>
        <v>26125.632000000005</v>
      </c>
    </row>
    <row r="49" spans="1:14" s="34" customFormat="1" hidden="1" x14ac:dyDescent="0.55000000000000004">
      <c r="A49" s="30"/>
      <c r="B49" s="31" t="s">
        <v>165</v>
      </c>
      <c r="C49" s="31"/>
      <c r="D49" s="31"/>
      <c r="E49" s="31"/>
      <c r="F49" s="31"/>
      <c r="G49" s="32"/>
      <c r="H49" s="58" t="s">
        <v>170</v>
      </c>
      <c r="I49" s="67">
        <f>15*(3.2/0.2)*(0.25*4)*0.499</f>
        <v>119.76</v>
      </c>
      <c r="J49" s="35">
        <v>31</v>
      </c>
      <c r="K49" s="35">
        <f t="shared" ref="K49:K50" si="13">J49*I49</f>
        <v>3712.56</v>
      </c>
      <c r="L49" s="35">
        <v>5</v>
      </c>
      <c r="M49" s="35">
        <f t="shared" ref="M49:M50" si="14">L49*I49</f>
        <v>598.80000000000007</v>
      </c>
      <c r="N49" s="59">
        <f t="shared" ref="N49:N50" si="15">M49+K49</f>
        <v>4311.3599999999997</v>
      </c>
    </row>
    <row r="50" spans="1:14" s="34" customFormat="1" hidden="1" x14ac:dyDescent="0.55000000000000004">
      <c r="A50" s="30"/>
      <c r="B50" s="31" t="s">
        <v>167</v>
      </c>
      <c r="C50" s="31"/>
      <c r="D50" s="31"/>
      <c r="E50" s="31"/>
      <c r="F50" s="31"/>
      <c r="G50" s="32"/>
      <c r="H50" s="58" t="s">
        <v>170</v>
      </c>
      <c r="I50" s="67">
        <f>15*(3.2*1.578*8)</f>
        <v>605.95200000000011</v>
      </c>
      <c r="J50" s="35">
        <v>31</v>
      </c>
      <c r="K50" s="35">
        <f t="shared" si="13"/>
        <v>18784.512000000002</v>
      </c>
      <c r="L50" s="35">
        <v>5</v>
      </c>
      <c r="M50" s="35">
        <f t="shared" si="14"/>
        <v>3029.7600000000007</v>
      </c>
      <c r="N50" s="59">
        <f t="shared" si="15"/>
        <v>21814.272000000004</v>
      </c>
    </row>
    <row r="51" spans="1:14" s="4" customFormat="1" x14ac:dyDescent="0.55000000000000004">
      <c r="A51" s="43">
        <v>3.8</v>
      </c>
      <c r="B51" s="43" t="s">
        <v>15</v>
      </c>
      <c r="C51" s="43"/>
      <c r="D51" s="43"/>
      <c r="E51" s="43"/>
      <c r="F51" s="43"/>
      <c r="G51" s="43"/>
      <c r="H51" s="54"/>
      <c r="I51" s="66"/>
      <c r="J51" s="55"/>
      <c r="K51" s="55">
        <f>K52+K53</f>
        <v>13050</v>
      </c>
      <c r="L51" s="55"/>
      <c r="M51" s="55">
        <f>M52+M53</f>
        <v>7125</v>
      </c>
      <c r="N51" s="55">
        <f>N52+N53</f>
        <v>20175</v>
      </c>
    </row>
    <row r="52" spans="1:14" s="34" customFormat="1" hidden="1" x14ac:dyDescent="0.55000000000000004">
      <c r="A52" s="31"/>
      <c r="B52" s="31" t="s">
        <v>179</v>
      </c>
      <c r="C52" s="31"/>
      <c r="D52" s="31"/>
      <c r="E52" s="31"/>
      <c r="F52" s="31"/>
      <c r="G52" s="31"/>
      <c r="H52" s="33" t="s">
        <v>159</v>
      </c>
      <c r="I52" s="67">
        <f>0.25*4*1.5*15</f>
        <v>22.5</v>
      </c>
      <c r="J52" s="35">
        <v>300</v>
      </c>
      <c r="K52" s="35">
        <f>J52*I52</f>
        <v>6750</v>
      </c>
      <c r="L52" s="35">
        <v>250</v>
      </c>
      <c r="M52" s="35">
        <f>L52*I52</f>
        <v>5625</v>
      </c>
      <c r="N52" s="36">
        <f>M52+K52</f>
        <v>12375</v>
      </c>
    </row>
    <row r="53" spans="1:14" s="34" customFormat="1" hidden="1" x14ac:dyDescent="0.55000000000000004">
      <c r="A53" s="30"/>
      <c r="B53" s="31" t="s">
        <v>181</v>
      </c>
      <c r="C53" s="31"/>
      <c r="D53" s="31"/>
      <c r="E53" s="31"/>
      <c r="F53" s="31"/>
      <c r="G53" s="32"/>
      <c r="H53" s="33" t="s">
        <v>160</v>
      </c>
      <c r="I53" s="67">
        <f>0.25*0.25*3.2*15</f>
        <v>3</v>
      </c>
      <c r="J53" s="35">
        <v>2100</v>
      </c>
      <c r="K53" s="35">
        <f>J53*I53</f>
        <v>6300</v>
      </c>
      <c r="L53" s="35">
        <v>500</v>
      </c>
      <c r="M53" s="35">
        <f>L53*I53</f>
        <v>1500</v>
      </c>
      <c r="N53" s="36">
        <f>M53+K53</f>
        <v>7800</v>
      </c>
    </row>
    <row r="54" spans="1:14" s="49" customFormat="1" x14ac:dyDescent="0.55000000000000004">
      <c r="A54" s="20">
        <v>4</v>
      </c>
      <c r="B54" s="21" t="s">
        <v>49</v>
      </c>
      <c r="C54" s="21"/>
      <c r="D54" s="21"/>
      <c r="E54" s="21"/>
      <c r="F54" s="21"/>
      <c r="G54" s="46"/>
      <c r="H54" s="47"/>
      <c r="I54" s="75"/>
      <c r="J54" s="48"/>
      <c r="K54" s="48">
        <f>SUM(K55:K64)</f>
        <v>399271.01999999996</v>
      </c>
      <c r="L54" s="48"/>
      <c r="M54" s="48">
        <f>SUM(M55:M64)</f>
        <v>125473.35</v>
      </c>
      <c r="N54" s="48">
        <f>SUM(N55:N64)</f>
        <v>524744.37</v>
      </c>
    </row>
    <row r="55" spans="1:14" s="4" customFormat="1" x14ac:dyDescent="0.55000000000000004">
      <c r="A55" s="37">
        <v>4.0999999999999996</v>
      </c>
      <c r="B55" s="38" t="s">
        <v>17</v>
      </c>
      <c r="C55" s="38"/>
      <c r="D55" s="38"/>
      <c r="E55" s="38"/>
      <c r="F55" s="38"/>
      <c r="G55" s="39"/>
      <c r="H55" s="3" t="s">
        <v>186</v>
      </c>
      <c r="I55" s="69">
        <f>(8*5)+(11*4)</f>
        <v>84</v>
      </c>
      <c r="J55" s="40">
        <v>450</v>
      </c>
      <c r="K55" s="40">
        <f>J55*I55</f>
        <v>37800</v>
      </c>
      <c r="L55" s="40">
        <v>75</v>
      </c>
      <c r="M55" s="40">
        <f>L55*I55</f>
        <v>6300</v>
      </c>
      <c r="N55" s="41">
        <f>M55+K55</f>
        <v>44100</v>
      </c>
    </row>
    <row r="56" spans="1:14" s="4" customFormat="1" x14ac:dyDescent="0.55000000000000004">
      <c r="A56" s="37">
        <v>4.2</v>
      </c>
      <c r="B56" s="38" t="s">
        <v>16</v>
      </c>
      <c r="C56" s="38"/>
      <c r="D56" s="38"/>
      <c r="E56" s="38"/>
      <c r="F56" s="38"/>
      <c r="G56" s="39"/>
      <c r="H56" s="3" t="s">
        <v>185</v>
      </c>
      <c r="I56" s="69"/>
      <c r="J56" s="40"/>
      <c r="K56" s="40">
        <f>K32</f>
        <v>196011.72</v>
      </c>
      <c r="L56" s="40"/>
      <c r="M56" s="40">
        <f>M32</f>
        <v>33870.6</v>
      </c>
      <c r="N56" s="41">
        <f t="shared" ref="N56:N62" si="16">M56+K56</f>
        <v>229882.32</v>
      </c>
    </row>
    <row r="57" spans="1:14" s="4" customFormat="1" x14ac:dyDescent="0.55000000000000004">
      <c r="A57" s="37">
        <v>4.3</v>
      </c>
      <c r="B57" s="38" t="s">
        <v>19</v>
      </c>
      <c r="C57" s="38"/>
      <c r="D57" s="38"/>
      <c r="E57" s="38"/>
      <c r="F57" s="38"/>
      <c r="G57" s="39"/>
      <c r="H57" s="3"/>
      <c r="I57" s="69"/>
      <c r="J57" s="40"/>
      <c r="K57" s="40">
        <f>K41</f>
        <v>15120</v>
      </c>
      <c r="L57" s="40"/>
      <c r="M57" s="40">
        <f>M41</f>
        <v>12600</v>
      </c>
      <c r="N57" s="41">
        <f t="shared" si="16"/>
        <v>27720</v>
      </c>
    </row>
    <row r="58" spans="1:14" s="4" customFormat="1" x14ac:dyDescent="0.55000000000000004">
      <c r="A58" s="37">
        <v>4.4000000000000004</v>
      </c>
      <c r="B58" s="38" t="s">
        <v>18</v>
      </c>
      <c r="C58" s="38"/>
      <c r="D58" s="38"/>
      <c r="E58" s="38"/>
      <c r="F58" s="38"/>
      <c r="G58" s="39"/>
      <c r="H58" s="3" t="s">
        <v>159</v>
      </c>
      <c r="I58" s="69">
        <v>88</v>
      </c>
      <c r="J58" s="40">
        <v>150</v>
      </c>
      <c r="K58" s="40">
        <f>K42</f>
        <v>39600</v>
      </c>
      <c r="L58" s="40">
        <v>35</v>
      </c>
      <c r="M58" s="40">
        <f>M42</f>
        <v>13200</v>
      </c>
      <c r="N58" s="41">
        <f t="shared" si="16"/>
        <v>52800</v>
      </c>
    </row>
    <row r="59" spans="1:14" s="4" customFormat="1" x14ac:dyDescent="0.55000000000000004">
      <c r="A59" s="37">
        <v>4.5</v>
      </c>
      <c r="B59" s="38" t="s">
        <v>21</v>
      </c>
      <c r="C59" s="38"/>
      <c r="D59" s="38"/>
      <c r="E59" s="38"/>
      <c r="F59" s="38"/>
      <c r="G59" s="39"/>
      <c r="H59" s="3" t="s">
        <v>159</v>
      </c>
      <c r="I59" s="69">
        <f>I40</f>
        <v>5.7600000000000007</v>
      </c>
      <c r="J59" s="40">
        <v>750</v>
      </c>
      <c r="K59" s="40">
        <f>K43</f>
        <v>1440.0000000000002</v>
      </c>
      <c r="L59" s="40">
        <v>250</v>
      </c>
      <c r="M59" s="40">
        <f>M43</f>
        <v>1152.0000000000002</v>
      </c>
      <c r="N59" s="41">
        <f t="shared" si="16"/>
        <v>2592.0000000000005</v>
      </c>
    </row>
    <row r="60" spans="1:14" s="4" customFormat="1" x14ac:dyDescent="0.55000000000000004">
      <c r="A60" s="37">
        <v>4.5</v>
      </c>
      <c r="B60" s="38" t="s">
        <v>22</v>
      </c>
      <c r="C60" s="38"/>
      <c r="D60" s="38"/>
      <c r="E60" s="38"/>
      <c r="F60" s="38"/>
      <c r="G60" s="39"/>
      <c r="H60" s="3"/>
      <c r="I60" s="69"/>
      <c r="J60" s="40"/>
      <c r="K60" s="40">
        <f>K43</f>
        <v>1440.0000000000002</v>
      </c>
      <c r="L60" s="40"/>
      <c r="M60" s="40">
        <f>M43</f>
        <v>1152.0000000000002</v>
      </c>
      <c r="N60" s="41">
        <f t="shared" si="16"/>
        <v>2592.0000000000005</v>
      </c>
    </row>
    <row r="61" spans="1:14" s="4" customFormat="1" x14ac:dyDescent="0.55000000000000004">
      <c r="A61" s="37">
        <v>4.5999999999999996</v>
      </c>
      <c r="B61" s="38" t="s">
        <v>23</v>
      </c>
      <c r="C61" s="38"/>
      <c r="D61" s="38"/>
      <c r="E61" s="38"/>
      <c r="F61" s="38"/>
      <c r="G61" s="39"/>
      <c r="H61" s="3"/>
      <c r="I61" s="69"/>
      <c r="J61" s="40"/>
      <c r="K61" s="40">
        <f>K44*1.05</f>
        <v>49156.800000000003</v>
      </c>
      <c r="L61" s="40"/>
      <c r="M61" s="40">
        <f>M44*1.05</f>
        <v>30030</v>
      </c>
      <c r="N61" s="41">
        <f t="shared" si="16"/>
        <v>79186.8</v>
      </c>
    </row>
    <row r="62" spans="1:14" s="4" customFormat="1" x14ac:dyDescent="0.55000000000000004">
      <c r="A62" s="37">
        <v>4.7</v>
      </c>
      <c r="B62" s="38" t="s">
        <v>25</v>
      </c>
      <c r="C62" s="38"/>
      <c r="D62" s="38"/>
      <c r="E62" s="38"/>
      <c r="F62" s="38"/>
      <c r="G62" s="39"/>
      <c r="H62" s="3"/>
      <c r="I62" s="69"/>
      <c r="J62" s="40"/>
      <c r="K62" s="40">
        <f>K51*1.05</f>
        <v>13702.5</v>
      </c>
      <c r="L62" s="40"/>
      <c r="M62" s="40">
        <f>M51*1.05</f>
        <v>7481.25</v>
      </c>
      <c r="N62" s="41">
        <f t="shared" si="16"/>
        <v>21183.75</v>
      </c>
    </row>
    <row r="63" spans="1:14" s="4" customFormat="1" x14ac:dyDescent="0.55000000000000004">
      <c r="A63" s="37">
        <v>4.8</v>
      </c>
      <c r="B63" s="38" t="s">
        <v>37</v>
      </c>
      <c r="C63" s="38"/>
      <c r="D63" s="38"/>
      <c r="E63" s="38"/>
      <c r="F63" s="38"/>
      <c r="G63" s="39"/>
      <c r="H63" s="3" t="s">
        <v>159</v>
      </c>
      <c r="I63" s="69">
        <f>2.5*4.5</f>
        <v>11.25</v>
      </c>
      <c r="J63" s="40">
        <v>2500</v>
      </c>
      <c r="K63" s="40">
        <f>J63*I63</f>
        <v>28125</v>
      </c>
      <c r="L63" s="40">
        <v>1500</v>
      </c>
      <c r="M63" s="40">
        <f>L63*I63</f>
        <v>16875</v>
      </c>
      <c r="N63" s="41">
        <f>M63+K63</f>
        <v>45000</v>
      </c>
    </row>
    <row r="64" spans="1:14" s="4" customFormat="1" x14ac:dyDescent="0.55000000000000004">
      <c r="A64" s="42">
        <v>4.9000000000000004</v>
      </c>
      <c r="B64" s="43" t="s">
        <v>38</v>
      </c>
      <c r="C64" s="43"/>
      <c r="D64" s="43"/>
      <c r="E64" s="43"/>
      <c r="F64" s="43"/>
      <c r="G64" s="44"/>
      <c r="H64" s="3" t="s">
        <v>159</v>
      </c>
      <c r="I64" s="69">
        <f>2.5*4.5</f>
        <v>11.25</v>
      </c>
      <c r="J64" s="40">
        <v>1500</v>
      </c>
      <c r="K64" s="40">
        <f>J64*I64</f>
        <v>16875</v>
      </c>
      <c r="L64" s="40">
        <v>250</v>
      </c>
      <c r="M64" s="40">
        <f>L64*I64</f>
        <v>2812.5</v>
      </c>
      <c r="N64" s="41">
        <f>M64+K64</f>
        <v>19687.5</v>
      </c>
    </row>
    <row r="65" spans="1:14" s="49" customFormat="1" x14ac:dyDescent="0.55000000000000004">
      <c r="A65" s="20">
        <v>5</v>
      </c>
      <c r="B65" s="21" t="s">
        <v>50</v>
      </c>
      <c r="C65" s="21"/>
      <c r="D65" s="21"/>
      <c r="E65" s="21"/>
      <c r="F65" s="21"/>
      <c r="G65" s="46"/>
      <c r="H65" s="47"/>
      <c r="I65" s="75"/>
      <c r="J65" s="48"/>
      <c r="K65" s="48">
        <f>SUM(K66:K68)</f>
        <v>105901</v>
      </c>
      <c r="L65" s="48"/>
      <c r="M65" s="48">
        <f>SUM(M66:M68)</f>
        <v>41100</v>
      </c>
      <c r="N65" s="48">
        <f>SUM(N66:N68)</f>
        <v>147001</v>
      </c>
    </row>
    <row r="66" spans="1:14" s="4" customFormat="1" x14ac:dyDescent="0.55000000000000004">
      <c r="A66" s="37">
        <v>5.0999999999999996</v>
      </c>
      <c r="B66" s="38" t="s">
        <v>26</v>
      </c>
      <c r="C66" s="38"/>
      <c r="D66" s="38"/>
      <c r="E66" s="38"/>
      <c r="F66" s="38"/>
      <c r="G66" s="39"/>
      <c r="H66" s="3" t="s">
        <v>159</v>
      </c>
      <c r="I66" s="69">
        <v>137</v>
      </c>
      <c r="J66" s="40">
        <v>423</v>
      </c>
      <c r="K66" s="40">
        <f>J66*I66</f>
        <v>57951</v>
      </c>
      <c r="L66" s="40">
        <v>150</v>
      </c>
      <c r="M66" s="40">
        <f>L66*I66</f>
        <v>20550</v>
      </c>
      <c r="N66" s="41">
        <f>M66+K66</f>
        <v>78501</v>
      </c>
    </row>
    <row r="67" spans="1:14" s="4" customFormat="1" x14ac:dyDescent="0.55000000000000004">
      <c r="A67" s="37">
        <v>5.2</v>
      </c>
      <c r="B67" s="38" t="s">
        <v>27</v>
      </c>
      <c r="C67" s="38"/>
      <c r="D67" s="38"/>
      <c r="E67" s="38"/>
      <c r="F67" s="38"/>
      <c r="G67" s="39"/>
      <c r="H67" s="3" t="s">
        <v>159</v>
      </c>
      <c r="I67" s="69">
        <v>137</v>
      </c>
      <c r="J67" s="40">
        <v>200</v>
      </c>
      <c r="K67" s="40">
        <f t="shared" ref="K67:K68" si="17">J67*I67</f>
        <v>27400</v>
      </c>
      <c r="L67" s="40">
        <v>100</v>
      </c>
      <c r="M67" s="40">
        <f t="shared" ref="M67:M68" si="18">L67*I67</f>
        <v>13700</v>
      </c>
      <c r="N67" s="41">
        <f t="shared" ref="N67:N68" si="19">M67+K67</f>
        <v>41100</v>
      </c>
    </row>
    <row r="68" spans="1:14" s="4" customFormat="1" x14ac:dyDescent="0.55000000000000004">
      <c r="A68" s="42">
        <v>5.3</v>
      </c>
      <c r="B68" s="43" t="s">
        <v>28</v>
      </c>
      <c r="C68" s="43"/>
      <c r="D68" s="43"/>
      <c r="E68" s="43"/>
      <c r="F68" s="43"/>
      <c r="G68" s="44"/>
      <c r="H68" s="3" t="s">
        <v>159</v>
      </c>
      <c r="I68" s="69">
        <v>137</v>
      </c>
      <c r="J68" s="40">
        <v>150</v>
      </c>
      <c r="K68" s="40">
        <f t="shared" si="17"/>
        <v>20550</v>
      </c>
      <c r="L68" s="40">
        <v>50</v>
      </c>
      <c r="M68" s="40">
        <f t="shared" si="18"/>
        <v>6850</v>
      </c>
      <c r="N68" s="41">
        <f t="shared" si="19"/>
        <v>27400</v>
      </c>
    </row>
    <row r="69" spans="1:14" x14ac:dyDescent="0.55000000000000004">
      <c r="A69" s="20">
        <v>6</v>
      </c>
      <c r="B69" s="21" t="s">
        <v>51</v>
      </c>
      <c r="C69" s="22"/>
      <c r="D69" s="22"/>
      <c r="E69" s="22"/>
      <c r="F69" s="22"/>
      <c r="G69" s="23"/>
      <c r="J69" s="28"/>
      <c r="K69" s="28">
        <f>SUM(K70:K76)</f>
        <v>131703.755</v>
      </c>
      <c r="L69" s="28"/>
      <c r="M69" s="28">
        <f>SUM(M70:M76)</f>
        <v>149126.948</v>
      </c>
      <c r="N69" s="28">
        <f>SUM(N70:N76)</f>
        <v>295830.70299999998</v>
      </c>
    </row>
    <row r="70" spans="1:14" x14ac:dyDescent="0.55000000000000004">
      <c r="A70" s="24">
        <v>6.1</v>
      </c>
      <c r="B70" s="12" t="s">
        <v>31</v>
      </c>
      <c r="C70" s="12"/>
      <c r="D70" s="12"/>
      <c r="E70" s="12"/>
      <c r="F70" s="12"/>
      <c r="G70" s="19"/>
      <c r="H70" s="2" t="s">
        <v>159</v>
      </c>
      <c r="I70" s="27">
        <f>I72-76.135</f>
        <v>167.49700000000001</v>
      </c>
      <c r="J70" s="28">
        <v>195</v>
      </c>
      <c r="K70" s="28">
        <f>J70*I70</f>
        <v>32661.915000000005</v>
      </c>
      <c r="L70" s="28">
        <v>180</v>
      </c>
      <c r="M70" s="28">
        <f>L70*J70</f>
        <v>35100</v>
      </c>
      <c r="N70" s="29">
        <f>K70+M70</f>
        <v>67761.915000000008</v>
      </c>
    </row>
    <row r="71" spans="1:14" x14ac:dyDescent="0.55000000000000004">
      <c r="A71" s="24">
        <v>6.2</v>
      </c>
      <c r="B71" s="12" t="s">
        <v>34</v>
      </c>
      <c r="C71" s="12"/>
      <c r="D71" s="12"/>
      <c r="E71" s="12"/>
      <c r="F71" s="12"/>
      <c r="G71" s="19"/>
      <c r="H71" s="2" t="s">
        <v>159</v>
      </c>
      <c r="I71" s="27">
        <v>88</v>
      </c>
      <c r="J71" s="28">
        <v>50</v>
      </c>
      <c r="K71" s="28">
        <f>J71*I71</f>
        <v>4400</v>
      </c>
      <c r="L71" s="28">
        <v>45</v>
      </c>
      <c r="M71" s="28">
        <f>L71*I71</f>
        <v>3960</v>
      </c>
      <c r="N71" s="29">
        <f>K71+M71</f>
        <v>8360</v>
      </c>
    </row>
    <row r="72" spans="1:14" x14ac:dyDescent="0.55000000000000004">
      <c r="A72" s="24">
        <v>6.3</v>
      </c>
      <c r="B72" s="12" t="s">
        <v>30</v>
      </c>
      <c r="C72" s="12"/>
      <c r="D72" s="12"/>
      <c r="E72" s="12"/>
      <c r="F72" s="12"/>
      <c r="G72" s="19"/>
      <c r="H72" s="2" t="s">
        <v>159</v>
      </c>
      <c r="I72" s="27">
        <v>243.63200000000001</v>
      </c>
      <c r="J72" s="28">
        <v>150</v>
      </c>
      <c r="K72" s="28">
        <f>J72*I72</f>
        <v>36544.800000000003</v>
      </c>
      <c r="L72" s="28">
        <v>120</v>
      </c>
      <c r="M72" s="28">
        <f>L72*I72</f>
        <v>29235.84</v>
      </c>
      <c r="N72" s="29">
        <f>K72+M72</f>
        <v>65780.639999999999</v>
      </c>
    </row>
    <row r="73" spans="1:14" x14ac:dyDescent="0.55000000000000004">
      <c r="A73" s="24">
        <v>6.4</v>
      </c>
      <c r="B73" s="12" t="s">
        <v>32</v>
      </c>
      <c r="C73" s="12"/>
      <c r="D73" s="12"/>
      <c r="E73" s="12"/>
      <c r="F73" s="12"/>
      <c r="G73" s="19"/>
      <c r="H73" s="2" t="s">
        <v>159</v>
      </c>
      <c r="I73" s="27">
        <f>I72*1.05</f>
        <v>255.81360000000001</v>
      </c>
      <c r="J73" s="28">
        <v>150</v>
      </c>
      <c r="K73" s="28">
        <f>J73*I73</f>
        <v>38372.04</v>
      </c>
      <c r="L73" s="28">
        <v>155</v>
      </c>
      <c r="M73" s="28">
        <f>L73*I73</f>
        <v>39651.108</v>
      </c>
      <c r="N73" s="29">
        <f>K73+M73</f>
        <v>78023.148000000001</v>
      </c>
    </row>
    <row r="74" spans="1:14" x14ac:dyDescent="0.55000000000000004">
      <c r="A74" s="24">
        <v>6.5</v>
      </c>
      <c r="B74" s="12" t="s">
        <v>36</v>
      </c>
      <c r="C74" s="12"/>
      <c r="D74" s="12"/>
      <c r="E74" s="12"/>
      <c r="F74" s="12"/>
      <c r="G74" s="19"/>
      <c r="H74" s="2" t="s">
        <v>159</v>
      </c>
      <c r="I74" s="27">
        <v>88</v>
      </c>
      <c r="J74" s="28">
        <f>75</f>
        <v>75</v>
      </c>
      <c r="K74" s="28">
        <f>J74*I74</f>
        <v>6600</v>
      </c>
      <c r="L74" s="28">
        <v>110</v>
      </c>
      <c r="M74" s="28">
        <f>L74*I74</f>
        <v>9680</v>
      </c>
      <c r="N74" s="29">
        <f>K74+M74</f>
        <v>16280</v>
      </c>
    </row>
    <row r="75" spans="1:14" x14ac:dyDescent="0.55000000000000004">
      <c r="A75" s="24">
        <v>6.6</v>
      </c>
      <c r="B75" s="12" t="s">
        <v>39</v>
      </c>
      <c r="C75" s="12"/>
      <c r="D75" s="12"/>
      <c r="E75" s="12"/>
      <c r="F75" s="12"/>
      <c r="G75" s="19"/>
      <c r="H75" s="2" t="s">
        <v>159</v>
      </c>
      <c r="I75" s="27">
        <v>175</v>
      </c>
      <c r="J75" s="28">
        <v>75</v>
      </c>
      <c r="K75" s="28">
        <f>J75*I75</f>
        <v>13125</v>
      </c>
      <c r="L75" s="28">
        <v>180</v>
      </c>
      <c r="M75" s="28">
        <f>L75*I75</f>
        <v>31500</v>
      </c>
      <c r="N75" s="29">
        <f>K75+M75</f>
        <v>44625</v>
      </c>
    </row>
    <row r="76" spans="1:14" x14ac:dyDescent="0.55000000000000004">
      <c r="A76" s="25">
        <v>6.7</v>
      </c>
      <c r="B76" s="17" t="s">
        <v>40</v>
      </c>
      <c r="C76" s="17"/>
      <c r="D76" s="17"/>
      <c r="E76" s="17"/>
      <c r="F76" s="17"/>
      <c r="G76" s="18"/>
      <c r="H76" s="2" t="s">
        <v>187</v>
      </c>
      <c r="J76" s="28"/>
      <c r="K76" s="28"/>
      <c r="L76" s="28"/>
      <c r="M76" s="28"/>
      <c r="N76" s="29">
        <v>15000</v>
      </c>
    </row>
    <row r="77" spans="1:14" x14ac:dyDescent="0.55000000000000004">
      <c r="A77" s="20">
        <v>7</v>
      </c>
      <c r="B77" s="21" t="s">
        <v>52</v>
      </c>
      <c r="C77" s="22"/>
      <c r="D77" s="22"/>
      <c r="E77" s="22"/>
      <c r="F77" s="22"/>
      <c r="G77" s="23"/>
      <c r="J77" s="28"/>
      <c r="K77" s="28">
        <f>SUM(K78:K84)</f>
        <v>131703.755</v>
      </c>
      <c r="L77" s="28"/>
      <c r="M77" s="28">
        <f>SUM(M78:M84)</f>
        <v>144176.408</v>
      </c>
      <c r="N77" s="28">
        <f>SUM(N78:N84)</f>
        <v>290880.163</v>
      </c>
    </row>
    <row r="78" spans="1:14" x14ac:dyDescent="0.55000000000000004">
      <c r="A78" s="24">
        <v>7.1</v>
      </c>
      <c r="B78" s="12" t="s">
        <v>33</v>
      </c>
      <c r="C78" s="12"/>
      <c r="D78" s="12"/>
      <c r="E78" s="12"/>
      <c r="F78" s="12"/>
      <c r="G78" s="19"/>
      <c r="H78" s="2" t="s">
        <v>159</v>
      </c>
      <c r="I78" s="27">
        <f>I80-76.135</f>
        <v>167.49700000000001</v>
      </c>
      <c r="J78" s="28">
        <v>195</v>
      </c>
      <c r="K78" s="28">
        <f>J78*I78</f>
        <v>32661.915000000005</v>
      </c>
      <c r="L78" s="28">
        <v>180</v>
      </c>
      <c r="M78" s="28">
        <f>L78*I78</f>
        <v>30149.460000000003</v>
      </c>
      <c r="N78" s="29">
        <f t="shared" ref="N78:N83" si="20">K78+M78</f>
        <v>62811.375000000007</v>
      </c>
    </row>
    <row r="79" spans="1:14" x14ac:dyDescent="0.55000000000000004">
      <c r="A79" s="24">
        <v>7.2</v>
      </c>
      <c r="B79" s="12" t="s">
        <v>35</v>
      </c>
      <c r="C79" s="12"/>
      <c r="D79" s="12"/>
      <c r="E79" s="12"/>
      <c r="F79" s="12"/>
      <c r="G79" s="19"/>
      <c r="H79" s="2" t="s">
        <v>159</v>
      </c>
      <c r="I79" s="27">
        <v>88</v>
      </c>
      <c r="J79" s="28">
        <v>50</v>
      </c>
      <c r="K79" s="28">
        <f t="shared" ref="K79:K81" si="21">J79*I79</f>
        <v>4400</v>
      </c>
      <c r="L79" s="28">
        <v>45</v>
      </c>
      <c r="M79" s="28">
        <f t="shared" ref="M79:M81" si="22">L79*I79</f>
        <v>3960</v>
      </c>
      <c r="N79" s="29">
        <f t="shared" si="20"/>
        <v>8360</v>
      </c>
    </row>
    <row r="80" spans="1:14" x14ac:dyDescent="0.55000000000000004">
      <c r="A80" s="24">
        <v>7.3</v>
      </c>
      <c r="B80" s="12" t="s">
        <v>30</v>
      </c>
      <c r="C80" s="12"/>
      <c r="D80" s="12"/>
      <c r="E80" s="12"/>
      <c r="F80" s="12"/>
      <c r="G80" s="19"/>
      <c r="H80" s="2" t="s">
        <v>159</v>
      </c>
      <c r="I80" s="27">
        <v>243.63200000000001</v>
      </c>
      <c r="J80" s="28">
        <v>150</v>
      </c>
      <c r="K80" s="28">
        <f t="shared" si="21"/>
        <v>36544.800000000003</v>
      </c>
      <c r="L80" s="28">
        <v>120</v>
      </c>
      <c r="M80" s="28">
        <f t="shared" si="22"/>
        <v>29235.84</v>
      </c>
      <c r="N80" s="29">
        <f t="shared" si="20"/>
        <v>65780.639999999999</v>
      </c>
    </row>
    <row r="81" spans="1:14" x14ac:dyDescent="0.55000000000000004">
      <c r="A81" s="24">
        <v>7.4</v>
      </c>
      <c r="B81" s="12" t="s">
        <v>32</v>
      </c>
      <c r="C81" s="12"/>
      <c r="D81" s="12"/>
      <c r="E81" s="12"/>
      <c r="F81" s="12"/>
      <c r="G81" s="19"/>
      <c r="H81" s="2" t="s">
        <v>159</v>
      </c>
      <c r="I81" s="27">
        <f>I80*1.05</f>
        <v>255.81360000000001</v>
      </c>
      <c r="J81" s="28">
        <v>150</v>
      </c>
      <c r="K81" s="28">
        <f t="shared" si="21"/>
        <v>38372.04</v>
      </c>
      <c r="L81" s="28">
        <v>155</v>
      </c>
      <c r="M81" s="28">
        <f t="shared" si="22"/>
        <v>39651.108</v>
      </c>
      <c r="N81" s="29">
        <f t="shared" si="20"/>
        <v>78023.148000000001</v>
      </c>
    </row>
    <row r="82" spans="1:14" x14ac:dyDescent="0.55000000000000004">
      <c r="A82" s="24">
        <v>7.5</v>
      </c>
      <c r="B82" s="12" t="s">
        <v>36</v>
      </c>
      <c r="C82" s="12"/>
      <c r="D82" s="12"/>
      <c r="E82" s="12"/>
      <c r="F82" s="12"/>
      <c r="G82" s="19"/>
      <c r="H82" s="2" t="s">
        <v>159</v>
      </c>
      <c r="I82" s="27">
        <v>88</v>
      </c>
      <c r="J82" s="28">
        <f>75</f>
        <v>75</v>
      </c>
      <c r="K82" s="28">
        <f>J82*I82</f>
        <v>6600</v>
      </c>
      <c r="L82" s="28">
        <v>110</v>
      </c>
      <c r="M82" s="28">
        <f>L82*I82</f>
        <v>9680</v>
      </c>
      <c r="N82" s="29">
        <f t="shared" si="20"/>
        <v>16280</v>
      </c>
    </row>
    <row r="83" spans="1:14" x14ac:dyDescent="0.55000000000000004">
      <c r="A83" s="24">
        <v>7.6</v>
      </c>
      <c r="B83" s="12" t="s">
        <v>39</v>
      </c>
      <c r="C83" s="12"/>
      <c r="D83" s="12"/>
      <c r="E83" s="12"/>
      <c r="F83" s="12"/>
      <c r="G83" s="19"/>
      <c r="H83" s="2" t="s">
        <v>159</v>
      </c>
      <c r="I83" s="27">
        <v>175</v>
      </c>
      <c r="J83" s="28">
        <v>75</v>
      </c>
      <c r="K83" s="28">
        <f>J83*I83</f>
        <v>13125</v>
      </c>
      <c r="L83" s="28">
        <v>180</v>
      </c>
      <c r="M83" s="28">
        <f>L83*I83</f>
        <v>31500</v>
      </c>
      <c r="N83" s="29">
        <f t="shared" si="20"/>
        <v>44625</v>
      </c>
    </row>
    <row r="84" spans="1:14" x14ac:dyDescent="0.55000000000000004">
      <c r="A84" s="25">
        <v>7.7</v>
      </c>
      <c r="B84" s="17" t="s">
        <v>188</v>
      </c>
      <c r="C84" s="17"/>
      <c r="D84" s="17"/>
      <c r="E84" s="17"/>
      <c r="F84" s="17"/>
      <c r="G84" s="18"/>
      <c r="H84" s="2" t="s">
        <v>187</v>
      </c>
      <c r="J84" s="28"/>
      <c r="K84" s="28"/>
      <c r="L84" s="28"/>
      <c r="M84" s="28"/>
      <c r="N84" s="29">
        <v>15000</v>
      </c>
    </row>
    <row r="85" spans="1:14" s="49" customFormat="1" x14ac:dyDescent="0.55000000000000004">
      <c r="A85" s="20">
        <v>8</v>
      </c>
      <c r="B85" s="21" t="s">
        <v>53</v>
      </c>
      <c r="C85" s="21"/>
      <c r="D85" s="21"/>
      <c r="E85" s="21"/>
      <c r="F85" s="21"/>
      <c r="G85" s="46"/>
      <c r="H85" s="47"/>
      <c r="I85" s="75"/>
      <c r="J85" s="48"/>
      <c r="K85" s="48"/>
      <c r="L85" s="48"/>
      <c r="M85" s="48"/>
      <c r="N85" s="94">
        <f>SUM(N86:N91)</f>
        <v>86034.407999999996</v>
      </c>
    </row>
    <row r="86" spans="1:14" x14ac:dyDescent="0.55000000000000004">
      <c r="A86" s="26">
        <v>8.1</v>
      </c>
      <c r="B86" s="12" t="s">
        <v>42</v>
      </c>
      <c r="C86" s="12"/>
      <c r="D86" s="12"/>
      <c r="E86" s="12"/>
      <c r="F86" s="12"/>
      <c r="G86" s="19"/>
      <c r="J86" s="28"/>
      <c r="K86" s="28"/>
      <c r="L86" s="28"/>
      <c r="M86" s="28"/>
      <c r="N86" s="29">
        <v>28000</v>
      </c>
    </row>
    <row r="87" spans="1:14" x14ac:dyDescent="0.55000000000000004">
      <c r="A87" s="24">
        <v>8.1999999999999993</v>
      </c>
      <c r="B87" s="12" t="s">
        <v>43</v>
      </c>
      <c r="C87" s="12"/>
      <c r="D87" s="12"/>
      <c r="E87" s="12"/>
      <c r="F87" s="12"/>
      <c r="G87" s="19"/>
      <c r="I87" s="27">
        <v>36</v>
      </c>
      <c r="J87" s="28">
        <v>150</v>
      </c>
      <c r="K87" s="28">
        <f>J87*I87</f>
        <v>5400</v>
      </c>
      <c r="L87" s="28">
        <v>110</v>
      </c>
      <c r="M87" s="28">
        <f>L87*I87</f>
        <v>3960</v>
      </c>
      <c r="N87" s="29">
        <f>M87+K87</f>
        <v>9360</v>
      </c>
    </row>
    <row r="88" spans="1:14" x14ac:dyDescent="0.55000000000000004">
      <c r="A88" s="24">
        <v>8.3000000000000007</v>
      </c>
      <c r="B88" s="12" t="s">
        <v>61</v>
      </c>
      <c r="C88" s="12"/>
      <c r="D88" s="12"/>
      <c r="E88" s="12"/>
      <c r="F88" s="12"/>
      <c r="G88" s="19"/>
      <c r="I88" s="27">
        <f>I81+I73</f>
        <v>511.62720000000002</v>
      </c>
      <c r="J88" s="28">
        <v>10</v>
      </c>
      <c r="K88" s="28">
        <f>J88*I88</f>
        <v>5116.2719999999999</v>
      </c>
      <c r="L88" s="28">
        <v>5</v>
      </c>
      <c r="M88" s="28">
        <f>L88*I88</f>
        <v>2558.136</v>
      </c>
      <c r="N88" s="29">
        <f>M88+K88</f>
        <v>7674.4079999999994</v>
      </c>
    </row>
    <row r="89" spans="1:14" x14ac:dyDescent="0.55000000000000004">
      <c r="A89" s="24">
        <v>8.4</v>
      </c>
      <c r="B89" s="12" t="s">
        <v>41</v>
      </c>
      <c r="C89" s="12"/>
      <c r="D89" s="12"/>
      <c r="E89" s="12"/>
      <c r="F89" s="12"/>
      <c r="G89" s="19"/>
      <c r="I89" s="27">
        <v>15</v>
      </c>
      <c r="J89" s="28">
        <v>150</v>
      </c>
      <c r="K89" s="28">
        <f>J89*I89</f>
        <v>2250</v>
      </c>
      <c r="L89" s="28">
        <v>250</v>
      </c>
      <c r="M89" s="28">
        <f>L89*I89</f>
        <v>3750</v>
      </c>
      <c r="N89" s="29">
        <f>M89+K89</f>
        <v>6000</v>
      </c>
    </row>
    <row r="90" spans="1:14" x14ac:dyDescent="0.55000000000000004">
      <c r="A90" s="24">
        <v>8.5</v>
      </c>
      <c r="B90" s="12" t="s">
        <v>44</v>
      </c>
      <c r="C90" s="12"/>
      <c r="D90" s="12"/>
      <c r="E90" s="12"/>
      <c r="F90" s="12"/>
      <c r="G90" s="19"/>
      <c r="J90" s="28"/>
      <c r="K90" s="28"/>
      <c r="L90" s="28"/>
      <c r="M90" s="28"/>
      <c r="N90" s="29">
        <v>35000</v>
      </c>
    </row>
    <row r="91" spans="1:14" x14ac:dyDescent="0.55000000000000004">
      <c r="A91" s="25">
        <v>8.6</v>
      </c>
      <c r="B91" s="17" t="s">
        <v>45</v>
      </c>
      <c r="C91" s="17"/>
      <c r="D91" s="17"/>
      <c r="E91" s="17"/>
      <c r="F91" s="17"/>
      <c r="G91" s="18"/>
      <c r="J91" s="28"/>
      <c r="K91" s="28"/>
      <c r="L91" s="28"/>
      <c r="M91" s="28"/>
      <c r="N91" s="29"/>
    </row>
  </sheetData>
  <mergeCells count="7">
    <mergeCell ref="N4:N5"/>
    <mergeCell ref="A4:A6"/>
    <mergeCell ref="B4:G6"/>
    <mergeCell ref="H4:H6"/>
    <mergeCell ref="I4:I6"/>
    <mergeCell ref="J4:K4"/>
    <mergeCell ref="L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แผนงานก่อสร้าง</vt:lpstr>
      <vt:lpstr>BOQ</vt:lpstr>
      <vt:lpstr>แผนงานก่อสร้าง!Print_Area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msc msc</dc:creator>
  <cp:lastModifiedBy>msc msc</cp:lastModifiedBy>
  <cp:lastPrinted>2024-02-21T20:28:13Z</cp:lastPrinted>
  <dcterms:created xsi:type="dcterms:W3CDTF">2024-02-21T14:43:58Z</dcterms:created>
  <dcterms:modified xsi:type="dcterms:W3CDTF">2024-02-22T21:47:09Z</dcterms:modified>
</cp:coreProperties>
</file>