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go Trujillo\Desktop\Nueva carpeta\"/>
    </mc:Choice>
  </mc:AlternateContent>
  <bookViews>
    <workbookView xWindow="0" yWindow="0" windowWidth="23040" windowHeight="9984"/>
  </bookViews>
  <sheets>
    <sheet name="CALCULO" sheetId="1" r:id="rId1"/>
    <sheet name="TABLA" sheetId="2" r:id="rId2"/>
  </sheets>
  <calcPr calcId="152511"/>
</workbook>
</file>

<file path=xl/calcChain.xml><?xml version="1.0" encoding="utf-8"?>
<calcChain xmlns="http://schemas.openxmlformats.org/spreadsheetml/2006/main">
  <c r="C72" i="1" l="1"/>
  <c r="D76" i="1" l="1"/>
  <c r="D85" i="1"/>
  <c r="D84" i="1"/>
  <c r="D83" i="1"/>
  <c r="D82" i="1"/>
  <c r="D81" i="1"/>
  <c r="D80" i="1"/>
  <c r="D79" i="1"/>
  <c r="D78" i="1"/>
  <c r="D77" i="1"/>
  <c r="C77" i="1"/>
  <c r="C76" i="1"/>
  <c r="F100" i="2" l="1"/>
  <c r="D100" i="2"/>
  <c r="E100" i="2"/>
  <c r="C100" i="2"/>
  <c r="D106" i="2"/>
  <c r="E106" i="2"/>
  <c r="F106" i="2"/>
  <c r="C106" i="2"/>
  <c r="D104" i="2"/>
  <c r="E104" i="2"/>
  <c r="F104" i="2"/>
  <c r="C104" i="2"/>
  <c r="D102" i="2"/>
  <c r="E102" i="2"/>
  <c r="F102" i="2"/>
  <c r="C102" i="2"/>
  <c r="D58" i="2"/>
  <c r="E58" i="2"/>
  <c r="F58" i="2"/>
  <c r="G58" i="2"/>
  <c r="H58" i="2"/>
  <c r="I58" i="2"/>
  <c r="J58" i="2"/>
  <c r="K58" i="2"/>
  <c r="L58" i="2"/>
  <c r="C58" i="2"/>
  <c r="D56" i="2"/>
  <c r="E56" i="2"/>
  <c r="F56" i="2"/>
  <c r="G56" i="2"/>
  <c r="H56" i="2"/>
  <c r="I56" i="2"/>
  <c r="J56" i="2"/>
  <c r="K56" i="2"/>
  <c r="L56" i="2"/>
  <c r="C56" i="2"/>
  <c r="C54" i="2"/>
  <c r="D54" i="2"/>
  <c r="E54" i="2"/>
  <c r="F54" i="2"/>
  <c r="G54" i="2"/>
  <c r="H54" i="2"/>
  <c r="I54" i="2"/>
  <c r="J54" i="2"/>
  <c r="K54" i="2"/>
  <c r="L54" i="2"/>
  <c r="J52" i="2"/>
  <c r="L52" i="2"/>
  <c r="D52" i="2"/>
  <c r="E52" i="2"/>
  <c r="F52" i="2"/>
  <c r="G52" i="2"/>
  <c r="H52" i="2"/>
  <c r="I52" i="2"/>
  <c r="K52" i="2"/>
  <c r="C52" i="2"/>
  <c r="L30" i="2"/>
  <c r="K30" i="2"/>
  <c r="J30" i="2"/>
  <c r="I30" i="2"/>
  <c r="H30" i="2"/>
  <c r="G30" i="2"/>
  <c r="F30" i="2"/>
  <c r="E30" i="2"/>
  <c r="D30" i="2"/>
  <c r="C30" i="2"/>
  <c r="J17" i="1"/>
  <c r="C85" i="1" l="1"/>
  <c r="C84" i="1"/>
  <c r="C83" i="1"/>
  <c r="C82" i="1"/>
  <c r="C81" i="1"/>
  <c r="C80" i="1"/>
  <c r="C79" i="1"/>
  <c r="C78" i="1"/>
  <c r="C66" i="1"/>
  <c r="C65" i="1" s="1"/>
  <c r="E69" i="1" s="1"/>
  <c r="D69" i="1" l="1"/>
  <c r="C69" i="1"/>
  <c r="C93" i="1"/>
  <c r="D70" i="1"/>
  <c r="C70" i="1"/>
  <c r="E71" i="1" s="1"/>
  <c r="C71" i="1" l="1"/>
  <c r="C107" i="1" s="1"/>
  <c r="D71" i="1"/>
  <c r="F105" i="1" s="1"/>
  <c r="B107" i="1"/>
  <c r="E105" i="1"/>
  <c r="B61" i="1"/>
  <c r="H67" i="1" s="1"/>
  <c r="B56" i="1"/>
  <c r="G102" i="1" s="1"/>
  <c r="C54" i="1"/>
  <c r="B51" i="1"/>
  <c r="G101" i="1" s="1"/>
  <c r="C49" i="1"/>
  <c r="B48" i="1"/>
  <c r="G100" i="1" s="1"/>
  <c r="C46" i="1"/>
  <c r="C43" i="1"/>
  <c r="C55" i="1" l="1"/>
  <c r="C56" i="1" s="1"/>
  <c r="H102" i="1" s="1"/>
  <c r="H60" i="1"/>
  <c r="H68" i="1"/>
  <c r="H61" i="1"/>
  <c r="H69" i="1"/>
  <c r="H62" i="1"/>
  <c r="H63" i="1"/>
  <c r="H64" i="1"/>
  <c r="H65" i="1"/>
  <c r="H66" i="1"/>
  <c r="H38" i="1"/>
  <c r="H37" i="1"/>
  <c r="H36" i="1"/>
  <c r="H35" i="1"/>
  <c r="H34" i="1"/>
  <c r="H33" i="1"/>
  <c r="H32" i="1"/>
  <c r="H31" i="1"/>
  <c r="H30" i="1"/>
  <c r="H29" i="1"/>
  <c r="D61" i="1" l="1"/>
  <c r="C31" i="1"/>
  <c r="C32" i="1" s="1"/>
  <c r="C61" i="1"/>
  <c r="D32" i="2"/>
  <c r="E32" i="2"/>
  <c r="F32" i="2"/>
  <c r="G32" i="2"/>
  <c r="H32" i="2"/>
  <c r="I32" i="2"/>
  <c r="J32" i="2"/>
  <c r="K32" i="2"/>
  <c r="L32" i="2"/>
  <c r="C32" i="2"/>
  <c r="E36" i="2"/>
  <c r="D36" i="2"/>
  <c r="F36" i="2"/>
  <c r="G36" i="2"/>
  <c r="H36" i="2"/>
  <c r="I36" i="2"/>
  <c r="J36" i="2"/>
  <c r="K36" i="2"/>
  <c r="L36" i="2"/>
  <c r="C36" i="2"/>
  <c r="D34" i="2"/>
  <c r="E34" i="2"/>
  <c r="F34" i="2"/>
  <c r="G34" i="2"/>
  <c r="H34" i="2"/>
  <c r="I34" i="2"/>
  <c r="J34" i="2"/>
  <c r="K34" i="2"/>
  <c r="L34" i="2"/>
  <c r="C34" i="2"/>
  <c r="G15" i="2"/>
  <c r="D15" i="2"/>
  <c r="G14" i="2"/>
  <c r="D14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  <c r="G6" i="2"/>
  <c r="D6" i="2"/>
  <c r="G5" i="2"/>
  <c r="D5" i="2"/>
  <c r="G4" i="2"/>
  <c r="D4" i="2"/>
  <c r="J8" i="1" l="1"/>
  <c r="C22" i="1"/>
  <c r="G24" i="1" s="1"/>
  <c r="J11" i="1"/>
  <c r="C88" i="1" l="1"/>
  <c r="C89" i="1" s="1"/>
  <c r="C21" i="1"/>
  <c r="C29" i="1" s="1"/>
  <c r="I32" i="1" l="1"/>
  <c r="I33" i="1"/>
  <c r="I34" i="1"/>
  <c r="I64" i="1"/>
  <c r="I35" i="1"/>
  <c r="I65" i="1"/>
  <c r="I37" i="1"/>
  <c r="I66" i="1"/>
  <c r="I36" i="1"/>
  <c r="I38" i="1"/>
  <c r="I67" i="1"/>
  <c r="I30" i="1"/>
  <c r="I29" i="1"/>
  <c r="I68" i="1"/>
  <c r="I31" i="1"/>
  <c r="I61" i="1"/>
  <c r="I69" i="1"/>
  <c r="I62" i="1"/>
  <c r="I60" i="1"/>
  <c r="I63" i="1"/>
  <c r="J67" i="1"/>
  <c r="J63" i="1"/>
  <c r="J30" i="1"/>
  <c r="J29" i="1"/>
  <c r="J35" i="1"/>
  <c r="J31" i="1"/>
  <c r="J60" i="1"/>
  <c r="J62" i="1"/>
  <c r="J66" i="1"/>
  <c r="J69" i="1"/>
  <c r="J32" i="1"/>
  <c r="J37" i="1"/>
  <c r="J65" i="1"/>
  <c r="J61" i="1"/>
  <c r="J33" i="1"/>
  <c r="J36" i="1"/>
  <c r="J38" i="1"/>
  <c r="J34" i="1"/>
  <c r="J64" i="1"/>
  <c r="J68" i="1"/>
  <c r="C42" i="1"/>
  <c r="C62" i="1"/>
  <c r="C63" i="1" s="1"/>
  <c r="C67" i="1" s="1"/>
  <c r="D62" i="1"/>
  <c r="D63" i="1" s="1"/>
  <c r="D67" i="1" s="1"/>
  <c r="C90" i="1"/>
  <c r="C91" i="1" s="1"/>
  <c r="C92" i="1" s="1"/>
  <c r="C94" i="1" s="1"/>
  <c r="C47" i="1" l="1"/>
  <c r="C48" i="1" s="1"/>
  <c r="H100" i="1" s="1"/>
  <c r="C50" i="1"/>
  <c r="C51" i="1" s="1"/>
  <c r="H101" i="1" s="1"/>
</calcChain>
</file>

<file path=xl/comments1.xml><?xml version="1.0" encoding="utf-8"?>
<comments xmlns="http://schemas.openxmlformats.org/spreadsheetml/2006/main">
  <authors>
    <author>PC</author>
  </authors>
  <commentList>
    <comment ref="B14" authorId="0" shapeId="0">
      <text>
        <r>
          <rPr>
            <sz val="9"/>
            <color indexed="81"/>
            <rFont val="Tahoma"/>
            <family val="2"/>
          </rPr>
          <t>recbrimiento</t>
        </r>
      </text>
    </comment>
    <comment ref="G25" authorId="0" shapeId="0">
      <text>
        <r>
          <rPr>
            <sz val="9"/>
            <color indexed="81"/>
            <rFont val="Tahoma"/>
            <family val="2"/>
          </rPr>
          <t xml:space="preserve">DIAMET ADOPADO
</t>
        </r>
      </text>
    </comment>
    <comment ref="C30" authorId="0" shapeId="0">
      <text>
        <r>
          <rPr>
            <b/>
            <sz val="9"/>
            <color indexed="81"/>
            <rFont val="Tahoma"/>
            <family val="2"/>
          </rPr>
          <t>ADOPTAMOS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8" authorId="0" shapeId="0">
      <text>
        <r>
          <rPr>
            <b/>
            <sz val="9"/>
            <color indexed="81"/>
            <rFont val="Tahoma"/>
            <family val="2"/>
          </rPr>
          <t>de tabla A.20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8" authorId="0" shapeId="0">
      <text>
        <r>
          <rPr>
            <sz val="9"/>
            <color indexed="81"/>
            <rFont val="Tahoma"/>
            <family val="2"/>
          </rPr>
          <t xml:space="preserve">Escoger un valor de la tabla
</t>
        </r>
      </text>
    </comment>
    <comment ref="D68" authorId="0" shapeId="0">
      <text>
        <r>
          <rPr>
            <b/>
            <sz val="9"/>
            <color indexed="81"/>
            <rFont val="Tahoma"/>
            <family val="2"/>
          </rPr>
          <t>escoger un valor de tabla</t>
        </r>
      </text>
    </comment>
    <comment ref="C75" authorId="0" shapeId="0">
      <text>
        <r>
          <rPr>
            <b/>
            <sz val="9"/>
            <color indexed="81"/>
            <rFont val="Tahoma"/>
            <family val="2"/>
          </rPr>
          <t>Adoptado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5" authorId="0" shapeId="0">
      <text>
        <r>
          <rPr>
            <b/>
            <sz val="9"/>
            <color indexed="81"/>
            <rFont val="Tahoma"/>
            <family val="2"/>
          </rPr>
          <t>MOMEMT NEGATIVO</t>
        </r>
      </text>
    </comment>
    <comment ref="B107" authorId="0" shapeId="0">
      <text>
        <r>
          <rPr>
            <b/>
            <sz val="9"/>
            <color indexed="81"/>
            <rFont val="Tahoma"/>
            <family val="2"/>
          </rPr>
          <t>POSITIVO</t>
        </r>
      </text>
    </comment>
  </commentList>
</comments>
</file>

<file path=xl/sharedStrings.xml><?xml version="1.0" encoding="utf-8"?>
<sst xmlns="http://schemas.openxmlformats.org/spreadsheetml/2006/main" count="173" uniqueCount="118">
  <si>
    <t>DISEÑO DE RESERVORIOS CILINDRICOS</t>
  </si>
  <si>
    <t>f'c  =</t>
  </si>
  <si>
    <t>fy  =</t>
  </si>
  <si>
    <t>fs  =</t>
  </si>
  <si>
    <t>σf  =</t>
  </si>
  <si>
    <t>Analisis del acero y el que se usara</t>
  </si>
  <si>
    <t>S=</t>
  </si>
  <si>
    <t>cm</t>
  </si>
  <si>
    <t>cm2/ml</t>
  </si>
  <si>
    <t>cm2</t>
  </si>
  <si>
    <t>Analisando para un espaciamiento maximo  As_min:</t>
  </si>
  <si>
    <t>M3</t>
  </si>
  <si>
    <t>m</t>
  </si>
  <si>
    <t>T</t>
  </si>
  <si>
    <t>b=1.00m</t>
  </si>
  <si>
    <t>kg/m</t>
  </si>
  <si>
    <t>kg/cm2</t>
  </si>
  <si>
    <t>kg/m3</t>
  </si>
  <si>
    <t>1. GEOMETRIA</t>
  </si>
  <si>
    <r>
      <rPr>
        <b/>
        <sz val="11"/>
        <color theme="1"/>
        <rFont val="Calibri"/>
        <family val="2"/>
      </rPr>
      <t>ɣ</t>
    </r>
    <r>
      <rPr>
        <b/>
        <i/>
        <sz val="11"/>
        <color theme="1"/>
        <rFont val="Calibri"/>
        <family val="2"/>
        <scheme val="minor"/>
      </rPr>
      <t>_agua =</t>
    </r>
  </si>
  <si>
    <t>b =</t>
  </si>
  <si>
    <t>t =</t>
  </si>
  <si>
    <t>Bl =</t>
  </si>
  <si>
    <t>h_agua =</t>
  </si>
  <si>
    <t>2. CALCULANDO</t>
  </si>
  <si>
    <t>Ri =</t>
  </si>
  <si>
    <t>HT =</t>
  </si>
  <si>
    <t>t</t>
  </si>
  <si>
    <t>Bl</t>
  </si>
  <si>
    <t>h</t>
  </si>
  <si>
    <t>3. CALCULO DE LA PARED CILINDRICA</t>
  </si>
  <si>
    <t>3.1. TENSIONES HORIZONTALES</t>
  </si>
  <si>
    <t>ACERO DE REFUERZO</t>
  </si>
  <si>
    <t>TIPO #</t>
  </si>
  <si>
    <t>TIPO (PULG)</t>
  </si>
  <si>
    <t>ÁREA (m2)</t>
  </si>
  <si>
    <t>ÁREA (cm2)</t>
  </si>
  <si>
    <t>DIÁMETRO (PULG)</t>
  </si>
  <si>
    <t>1/4"</t>
  </si>
  <si>
    <t>3/8"</t>
  </si>
  <si>
    <t>1/2"</t>
  </si>
  <si>
    <t>5/8"</t>
  </si>
  <si>
    <t>3/4"</t>
  </si>
  <si>
    <t>7/8"</t>
  </si>
  <si>
    <t>1"</t>
  </si>
  <si>
    <t>11/8"</t>
  </si>
  <si>
    <t>11/4"</t>
  </si>
  <si>
    <t>12/5"</t>
  </si>
  <si>
    <t>12/3"</t>
  </si>
  <si>
    <t>21/4"</t>
  </si>
  <si>
    <t>H/D*t</t>
  </si>
  <si>
    <t>0.0H</t>
  </si>
  <si>
    <t>0.1H</t>
  </si>
  <si>
    <t>DIÁMET (cm)</t>
  </si>
  <si>
    <t>0.2H</t>
  </si>
  <si>
    <t>0.3H</t>
  </si>
  <si>
    <t>0.4H</t>
  </si>
  <si>
    <t>0.5H</t>
  </si>
  <si>
    <t>0.6H</t>
  </si>
  <si>
    <t>0.7H</t>
  </si>
  <si>
    <t>0.8H</t>
  </si>
  <si>
    <t>COEFICIENTES EN EL PUNTO</t>
  </si>
  <si>
    <t>CALCULO DE ACEROS</t>
  </si>
  <si>
    <t>3.2 CALCULO DE MOMENTOS VERTICALES</t>
  </si>
  <si>
    <t>F</t>
  </si>
  <si>
    <t>0.9H</t>
  </si>
  <si>
    <t>1.0H</t>
  </si>
  <si>
    <t>H*H/D*t</t>
  </si>
  <si>
    <t>Cmax+</t>
  </si>
  <si>
    <t>Cmax-</t>
  </si>
  <si>
    <t>kg</t>
  </si>
  <si>
    <t>kg.m/m</t>
  </si>
  <si>
    <t>cm2/m</t>
  </si>
  <si>
    <t>4. CALCULO DE CORTANTE MAXIMO</t>
  </si>
  <si>
    <t>Carga triangular, base empotrada</t>
  </si>
  <si>
    <t>Carga rectangular, base empotrada</t>
  </si>
  <si>
    <t>Carga triangular, o rectangular,base rotulada</t>
  </si>
  <si>
    <t>Momento en el borde</t>
  </si>
  <si>
    <t>Diamentro</t>
  </si>
  <si>
    <t>Coeficientes en el punto</t>
  </si>
  <si>
    <t>PARA TENSIONES HORIZONTALES</t>
  </si>
  <si>
    <t>PARA MOMENTOS VERTICALES</t>
  </si>
  <si>
    <t>Table A.20-Dessign Aid for Bending Moment Reinforcing</t>
  </si>
  <si>
    <t>w</t>
  </si>
  <si>
    <t>PARA CORTANTES VERTICALES</t>
  </si>
  <si>
    <t>Verificar</t>
  </si>
  <si>
    <t>Coeficiente w</t>
  </si>
  <si>
    <t>VOL =</t>
  </si>
  <si>
    <t>r =</t>
  </si>
  <si>
    <t>φ =</t>
  </si>
  <si>
    <t>M =</t>
  </si>
  <si>
    <t>Mu =</t>
  </si>
  <si>
    <t>d =</t>
  </si>
  <si>
    <t>coef_C =</t>
  </si>
  <si>
    <t>As =</t>
  </si>
  <si>
    <t>F =</t>
  </si>
  <si>
    <t>Cmax =</t>
  </si>
  <si>
    <t>T =</t>
  </si>
  <si>
    <t>As min =</t>
  </si>
  <si>
    <t>S =</t>
  </si>
  <si>
    <t>Coef =</t>
  </si>
  <si>
    <t>V =</t>
  </si>
  <si>
    <t>vu =</t>
  </si>
  <si>
    <t>Vv =</t>
  </si>
  <si>
    <t>Vuc =</t>
  </si>
  <si>
    <t>Asmin/max</t>
  </si>
  <si>
    <t>Escoger solo uno</t>
  </si>
  <si>
    <t>C</t>
  </si>
  <si>
    <t>H(m)</t>
  </si>
  <si>
    <t>5. SECCION TIPICA</t>
  </si>
  <si>
    <t>DATO</t>
  </si>
  <si>
    <t>CRITERIO</t>
  </si>
  <si>
    <t>M(kg.m/m)</t>
  </si>
  <si>
    <t>T(kg/m)</t>
  </si>
  <si>
    <t>Di =</t>
  </si>
  <si>
    <t>S_max</t>
  </si>
  <si>
    <t>As_min</t>
  </si>
  <si>
    <t>PESO (kg/m)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</si>
</sst>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00"/>
    <numFmt numFmtId="166" formatCode="&quot;#&quot;General"/>
    <numFmt numFmtId="167" formatCode="#\ ?/?\&quot;"/>
    <numFmt numFmtId="168" formatCode="0.000000"/>
    <numFmt numFmtId="169" formatCode="&quot;@&quot;\ General"/>
    <numFmt numFmtId="170" formatCode="0.0000"/>
    <numFmt numFmtId="171" formatCode="0.00\ &quot;H&quot;"/>
    <numFmt numFmtId="172" formatCode="&quot;@&quot;\ 0.00\ &quot;cm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sz val="20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i/>
      <u/>
      <sz val="14"/>
      <color theme="1"/>
      <name val="Calibri"/>
      <family val="2"/>
      <scheme val="minor"/>
    </font>
    <font>
      <b/>
      <sz val="11"/>
      <color theme="1"/>
      <name val="Comic Sans MS"/>
      <family val="4"/>
    </font>
    <font>
      <sz val="11"/>
      <color theme="1"/>
      <name val="Comic Sans MS"/>
      <family val="4"/>
    </font>
    <font>
      <sz val="10"/>
      <color theme="1"/>
      <name val="Comic Sans MS"/>
      <family val="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Calibri"/>
      <family val="2"/>
      <scheme val="minor"/>
    </font>
    <font>
      <u/>
      <sz val="20"/>
      <color theme="1"/>
      <name val="Calibri"/>
      <family val="2"/>
      <scheme val="minor"/>
    </font>
    <font>
      <i/>
      <sz val="9"/>
      <color theme="1"/>
      <name val="Century Gothic"/>
      <family val="2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1" fillId="0" borderId="0" xfId="0" applyFont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2" borderId="4" xfId="0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165" fontId="0" fillId="0" borderId="4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0" xfId="0" applyAlignment="1">
      <alignment horizontal="right"/>
    </xf>
    <xf numFmtId="1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 applyFill="1" applyBorder="1" applyAlignment="1"/>
    <xf numFmtId="0" fontId="4" fillId="0" borderId="0" xfId="0" applyFont="1" applyFill="1" applyBorder="1" applyAlignment="1"/>
    <xf numFmtId="0" fontId="0" fillId="0" borderId="0" xfId="0" applyFill="1" applyBorder="1"/>
    <xf numFmtId="0" fontId="8" fillId="0" borderId="0" xfId="0" applyFont="1" applyFill="1" applyBorder="1" applyAlignment="1"/>
    <xf numFmtId="0" fontId="3" fillId="4" borderId="4" xfId="0" applyFont="1" applyFill="1" applyBorder="1" applyAlignment="1">
      <alignment horizontal="right"/>
    </xf>
    <xf numFmtId="0" fontId="0" fillId="0" borderId="4" xfId="0" applyFill="1" applyBorder="1"/>
    <xf numFmtId="0" fontId="10" fillId="0" borderId="0" xfId="0" applyFont="1" applyFill="1" applyBorder="1" applyAlignment="1"/>
    <xf numFmtId="0" fontId="3" fillId="0" borderId="0" xfId="0" applyFont="1" applyFill="1" applyBorder="1" applyAlignment="1"/>
    <xf numFmtId="0" fontId="0" fillId="0" borderId="0" xfId="0" applyFill="1" applyBorder="1" applyAlignment="1"/>
    <xf numFmtId="0" fontId="3" fillId="0" borderId="0" xfId="0" applyFont="1" applyFill="1" applyBorder="1" applyAlignment="1">
      <alignment horizontal="center"/>
    </xf>
    <xf numFmtId="2" fontId="0" fillId="7" borderId="4" xfId="0" applyNumberFormat="1" applyFill="1" applyBorder="1" applyAlignment="1">
      <alignment horizontal="center"/>
    </xf>
    <xf numFmtId="166" fontId="12" fillId="0" borderId="8" xfId="0" applyNumberFormat="1" applyFont="1" applyBorder="1" applyAlignment="1">
      <alignment horizontal="center"/>
    </xf>
    <xf numFmtId="167" fontId="12" fillId="0" borderId="9" xfId="0" applyNumberFormat="1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168" fontId="12" fillId="0" borderId="10" xfId="0" applyNumberFormat="1" applyFont="1" applyBorder="1" applyAlignment="1">
      <alignment horizontal="center"/>
    </xf>
    <xf numFmtId="166" fontId="12" fillId="0" borderId="11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68" fontId="12" fillId="0" borderId="12" xfId="0" applyNumberFormat="1" applyFont="1" applyBorder="1" applyAlignment="1">
      <alignment horizontal="center"/>
    </xf>
    <xf numFmtId="166" fontId="12" fillId="0" borderId="13" xfId="0" applyNumberFormat="1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168" fontId="12" fillId="0" borderId="15" xfId="0" applyNumberFormat="1" applyFont="1" applyBorder="1" applyAlignment="1">
      <alignment horizontal="center"/>
    </xf>
    <xf numFmtId="0" fontId="13" fillId="6" borderId="9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 wrapText="1"/>
    </xf>
    <xf numFmtId="0" fontId="13" fillId="7" borderId="9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165" fontId="0" fillId="0" borderId="0" xfId="0" applyNumberFormat="1" applyBorder="1"/>
    <xf numFmtId="165" fontId="0" fillId="0" borderId="0" xfId="0" applyNumberFormat="1" applyFill="1" applyBorder="1"/>
    <xf numFmtId="165" fontId="0" fillId="0" borderId="6" xfId="0" applyNumberFormat="1" applyBorder="1"/>
    <xf numFmtId="0" fontId="0" fillId="3" borderId="0" xfId="0" applyFill="1" applyAlignment="1">
      <alignment horizontal="right"/>
    </xf>
    <xf numFmtId="0" fontId="0" fillId="0" borderId="4" xfId="0" applyBorder="1" applyAlignment="1">
      <alignment horizontal="center"/>
    </xf>
    <xf numFmtId="0" fontId="2" fillId="0" borderId="0" xfId="0" applyFont="1"/>
    <xf numFmtId="165" fontId="0" fillId="0" borderId="4" xfId="0" applyNumberFormat="1" applyBorder="1" applyAlignment="1">
      <alignment horizontal="left"/>
    </xf>
    <xf numFmtId="0" fontId="0" fillId="0" borderId="0" xfId="0" applyFill="1"/>
    <xf numFmtId="165" fontId="12" fillId="0" borderId="9" xfId="0" applyNumberFormat="1" applyFont="1" applyBorder="1" applyAlignment="1">
      <alignment horizontal="center"/>
    </xf>
    <xf numFmtId="165" fontId="12" fillId="0" borderId="0" xfId="0" applyNumberFormat="1" applyFont="1" applyBorder="1" applyAlignment="1">
      <alignment horizontal="center"/>
    </xf>
    <xf numFmtId="165" fontId="12" fillId="0" borderId="14" xfId="0" applyNumberFormat="1" applyFont="1" applyBorder="1" applyAlignment="1">
      <alignment horizontal="center"/>
    </xf>
    <xf numFmtId="166" fontId="0" fillId="2" borderId="4" xfId="0" applyNumberForma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165" fontId="0" fillId="0" borderId="0" xfId="0" applyNumberFormat="1" applyFill="1" applyBorder="1" applyAlignment="1">
      <alignment horizontal="center"/>
    </xf>
    <xf numFmtId="0" fontId="0" fillId="0" borderId="17" xfId="0" applyBorder="1" applyAlignment="1">
      <alignment horizontal="center"/>
    </xf>
    <xf numFmtId="169" fontId="0" fillId="0" borderId="17" xfId="0" applyNumberFormat="1" applyBorder="1" applyAlignment="1">
      <alignment horizontal="center"/>
    </xf>
    <xf numFmtId="166" fontId="0" fillId="2" borderId="7" xfId="0" applyNumberFormat="1" applyFill="1" applyBorder="1" applyAlignment="1">
      <alignment horizontal="center"/>
    </xf>
    <xf numFmtId="0" fontId="0" fillId="0" borderId="0" xfId="0" applyFill="1" applyAlignment="1"/>
    <xf numFmtId="0" fontId="2" fillId="0" borderId="0" xfId="0" applyFont="1" applyFill="1" applyBorder="1" applyAlignment="1"/>
    <xf numFmtId="170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9" fontId="0" fillId="0" borderId="4" xfId="0" applyNumberForma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65" fontId="0" fillId="0" borderId="5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70" fontId="0" fillId="0" borderId="5" xfId="0" applyNumberFormat="1" applyBorder="1" applyAlignment="1">
      <alignment horizontal="center"/>
    </xf>
    <xf numFmtId="170" fontId="0" fillId="0" borderId="0" xfId="0" applyNumberFormat="1" applyBorder="1" applyAlignment="1">
      <alignment horizontal="center"/>
    </xf>
    <xf numFmtId="170" fontId="0" fillId="0" borderId="0" xfId="0" applyNumberFormat="1" applyFill="1" applyBorder="1" applyAlignment="1">
      <alignment horizontal="center"/>
    </xf>
    <xf numFmtId="170" fontId="0" fillId="0" borderId="6" xfId="0" applyNumberFormat="1" applyBorder="1" applyAlignment="1">
      <alignment horizontal="center"/>
    </xf>
    <xf numFmtId="2" fontId="0" fillId="0" borderId="0" xfId="0" applyNumberFormat="1"/>
    <xf numFmtId="170" fontId="0" fillId="0" borderId="1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5" fontId="2" fillId="6" borderId="4" xfId="0" applyNumberFormat="1" applyFont="1" applyFill="1" applyBorder="1" applyAlignment="1">
      <alignment horizontal="center"/>
    </xf>
    <xf numFmtId="169" fontId="0" fillId="0" borderId="0" xfId="0" applyNumberFormat="1" applyAlignment="1">
      <alignment horizontal="left"/>
    </xf>
    <xf numFmtId="0" fontId="2" fillId="0" borderId="0" xfId="0" applyFont="1" applyAlignment="1">
      <alignment horizontal="right"/>
    </xf>
    <xf numFmtId="169" fontId="2" fillId="0" borderId="0" xfId="0" applyNumberFormat="1" applyFont="1" applyAlignment="1">
      <alignment horizontal="left"/>
    </xf>
    <xf numFmtId="170" fontId="0" fillId="0" borderId="4" xfId="0" applyNumberForma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0" fillId="7" borderId="4" xfId="0" applyFill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165" fontId="0" fillId="0" borderId="12" xfId="0" applyNumberFormat="1" applyFill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165" fontId="0" fillId="0" borderId="15" xfId="0" applyNumberFormat="1" applyFill="1" applyBorder="1" applyAlignment="1">
      <alignment horizontal="center"/>
    </xf>
    <xf numFmtId="170" fontId="0" fillId="0" borderId="24" xfId="0" applyNumberFormat="1" applyBorder="1" applyAlignment="1">
      <alignment horizontal="center"/>
    </xf>
    <xf numFmtId="170" fontId="0" fillId="0" borderId="12" xfId="0" applyNumberFormat="1" applyBorder="1" applyAlignment="1">
      <alignment horizontal="center"/>
    </xf>
    <xf numFmtId="170" fontId="0" fillId="0" borderId="27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170" fontId="0" fillId="0" borderId="29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170" fontId="0" fillId="0" borderId="30" xfId="0" applyNumberForma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164" fontId="0" fillId="0" borderId="23" xfId="0" applyNumberFormat="1" applyBorder="1"/>
    <xf numFmtId="2" fontId="0" fillId="0" borderId="24" xfId="0" applyNumberFormat="1" applyBorder="1"/>
    <xf numFmtId="164" fontId="0" fillId="0" borderId="25" xfId="0" applyNumberFormat="1" applyBorder="1"/>
    <xf numFmtId="2" fontId="0" fillId="0" borderId="12" xfId="0" applyNumberFormat="1" applyBorder="1"/>
    <xf numFmtId="164" fontId="0" fillId="0" borderId="26" xfId="0" applyNumberFormat="1" applyBorder="1"/>
    <xf numFmtId="2" fontId="0" fillId="0" borderId="27" xfId="0" applyNumberFormat="1" applyBorder="1"/>
    <xf numFmtId="2" fontId="0" fillId="0" borderId="12" xfId="0" applyNumberFormat="1" applyFill="1" applyBorder="1"/>
    <xf numFmtId="165" fontId="0" fillId="0" borderId="12" xfId="0" applyNumberFormat="1" applyBorder="1"/>
    <xf numFmtId="164" fontId="0" fillId="0" borderId="25" xfId="0" applyNumberFormat="1" applyFill="1" applyBorder="1"/>
    <xf numFmtId="164" fontId="0" fillId="0" borderId="28" xfId="0" applyNumberFormat="1" applyFill="1" applyBorder="1"/>
    <xf numFmtId="165" fontId="0" fillId="0" borderId="14" xfId="0" applyNumberFormat="1" applyFill="1" applyBorder="1"/>
    <xf numFmtId="2" fontId="0" fillId="0" borderId="15" xfId="0" applyNumberFormat="1" applyBorder="1"/>
    <xf numFmtId="0" fontId="0" fillId="6" borderId="32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0" fillId="6" borderId="33" xfId="0" applyFill="1" applyBorder="1" applyAlignment="1">
      <alignment horizontal="center"/>
    </xf>
    <xf numFmtId="0" fontId="0" fillId="6" borderId="32" xfId="0" applyFill="1" applyBorder="1"/>
    <xf numFmtId="0" fontId="0" fillId="6" borderId="34" xfId="0" applyFill="1" applyBorder="1" applyAlignment="1">
      <alignment horizontal="center"/>
    </xf>
    <xf numFmtId="165" fontId="0" fillId="6" borderId="35" xfId="0" applyNumberFormat="1" applyFill="1" applyBorder="1" applyAlignment="1">
      <alignment horizontal="center"/>
    </xf>
    <xf numFmtId="165" fontId="0" fillId="6" borderId="36" xfId="0" applyNumberFormat="1" applyFill="1" applyBorder="1" applyAlignment="1">
      <alignment horizontal="center"/>
    </xf>
    <xf numFmtId="165" fontId="0" fillId="6" borderId="37" xfId="0" applyNumberFormat="1" applyFill="1" applyBorder="1" applyAlignment="1">
      <alignment horizontal="center"/>
    </xf>
    <xf numFmtId="0" fontId="3" fillId="0" borderId="4" xfId="0" applyFont="1" applyFill="1" applyBorder="1" applyAlignment="1">
      <alignment horizontal="right"/>
    </xf>
    <xf numFmtId="0" fontId="7" fillId="4" borderId="4" xfId="0" applyFont="1" applyFill="1" applyBorder="1" applyAlignment="1">
      <alignment horizontal="right"/>
    </xf>
    <xf numFmtId="0" fontId="0" fillId="0" borderId="0" xfId="0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/>
    <xf numFmtId="0" fontId="2" fillId="0" borderId="4" xfId="0" applyFont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0" fillId="0" borderId="0" xfId="0" applyBorder="1" applyAlignment="1"/>
    <xf numFmtId="170" fontId="0" fillId="0" borderId="4" xfId="0" applyNumberFormat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1" fontId="2" fillId="6" borderId="4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Fill="1" applyBorder="1"/>
    <xf numFmtId="0" fontId="17" fillId="0" borderId="0" xfId="0" applyFont="1" applyFill="1" applyBorder="1" applyAlignment="1">
      <alignment horizontal="center"/>
    </xf>
    <xf numFmtId="0" fontId="2" fillId="2" borderId="38" xfId="0" applyFont="1" applyFill="1" applyBorder="1" applyAlignment="1"/>
    <xf numFmtId="0" fontId="2" fillId="7" borderId="38" xfId="0" applyFont="1" applyFill="1" applyBorder="1" applyAlignment="1"/>
    <xf numFmtId="164" fontId="0" fillId="0" borderId="23" xfId="0" applyNumberFormat="1" applyFill="1" applyBorder="1" applyAlignment="1">
      <alignment horizontal="center"/>
    </xf>
    <xf numFmtId="170" fontId="0" fillId="0" borderId="5" xfId="0" applyNumberFormat="1" applyFill="1" applyBorder="1" applyAlignment="1">
      <alignment horizontal="center"/>
    </xf>
    <xf numFmtId="170" fontId="0" fillId="0" borderId="24" xfId="0" applyNumberFormat="1" applyFill="1" applyBorder="1" applyAlignment="1">
      <alignment horizontal="center"/>
    </xf>
    <xf numFmtId="164" fontId="0" fillId="0" borderId="25" xfId="0" applyNumberFormat="1" applyFill="1" applyBorder="1" applyAlignment="1">
      <alignment horizontal="center"/>
    </xf>
    <xf numFmtId="170" fontId="0" fillId="0" borderId="12" xfId="0" applyNumberFormat="1" applyFill="1" applyBorder="1" applyAlignment="1">
      <alignment horizontal="center"/>
    </xf>
    <xf numFmtId="164" fontId="0" fillId="0" borderId="28" xfId="0" applyNumberFormat="1" applyFill="1" applyBorder="1" applyAlignment="1">
      <alignment horizontal="center"/>
    </xf>
    <xf numFmtId="170" fontId="0" fillId="0" borderId="14" xfId="0" applyNumberFormat="1" applyFill="1" applyBorder="1" applyAlignment="1">
      <alignment horizontal="center"/>
    </xf>
    <xf numFmtId="170" fontId="0" fillId="0" borderId="15" xfId="0" applyNumberFormat="1" applyFill="1" applyBorder="1" applyAlignment="1">
      <alignment horizontal="center"/>
    </xf>
    <xf numFmtId="164" fontId="0" fillId="0" borderId="23" xfId="0" applyNumberFormat="1" applyFill="1" applyBorder="1"/>
    <xf numFmtId="165" fontId="0" fillId="0" borderId="5" xfId="0" applyNumberFormat="1" applyFill="1" applyBorder="1"/>
    <xf numFmtId="2" fontId="0" fillId="0" borderId="24" xfId="0" applyNumberFormat="1" applyFill="1" applyBorder="1"/>
    <xf numFmtId="165" fontId="0" fillId="0" borderId="12" xfId="0" applyNumberFormat="1" applyFill="1" applyBorder="1"/>
    <xf numFmtId="164" fontId="0" fillId="0" borderId="26" xfId="0" applyNumberFormat="1" applyFill="1" applyBorder="1"/>
    <xf numFmtId="165" fontId="0" fillId="0" borderId="6" xfId="0" applyNumberFormat="1" applyFill="1" applyBorder="1"/>
    <xf numFmtId="2" fontId="0" fillId="0" borderId="27" xfId="0" applyNumberFormat="1" applyFill="1" applyBorder="1"/>
    <xf numFmtId="0" fontId="3" fillId="0" borderId="0" xfId="0" applyFont="1"/>
    <xf numFmtId="0" fontId="3" fillId="0" borderId="0" xfId="0" applyFont="1" applyAlignment="1">
      <alignment vertical="center"/>
    </xf>
    <xf numFmtId="0" fontId="19" fillId="0" borderId="4" xfId="0" applyFont="1" applyBorder="1" applyAlignment="1">
      <alignment horizontal="center"/>
    </xf>
    <xf numFmtId="0" fontId="2" fillId="0" borderId="4" xfId="0" applyFont="1" applyBorder="1"/>
    <xf numFmtId="0" fontId="18" fillId="0" borderId="0" xfId="0" applyFont="1" applyFill="1" applyBorder="1"/>
    <xf numFmtId="170" fontId="0" fillId="0" borderId="0" xfId="0" applyNumberFormat="1"/>
    <xf numFmtId="165" fontId="0" fillId="0" borderId="0" xfId="0" applyNumberFormat="1"/>
    <xf numFmtId="165" fontId="0" fillId="3" borderId="4" xfId="0" applyNumberFormat="1" applyFill="1" applyBorder="1" applyAlignment="1">
      <alignment horizontal="center"/>
    </xf>
    <xf numFmtId="0" fontId="0" fillId="0" borderId="4" xfId="0" applyBorder="1"/>
    <xf numFmtId="2" fontId="0" fillId="0" borderId="4" xfId="0" applyNumberFormat="1" applyBorder="1"/>
    <xf numFmtId="0" fontId="2" fillId="0" borderId="0" xfId="0" applyFont="1" applyFill="1" applyBorder="1" applyAlignment="1">
      <alignment horizontal="right"/>
    </xf>
    <xf numFmtId="172" fontId="0" fillId="0" borderId="0" xfId="0" applyNumberFormat="1" applyAlignment="1">
      <alignment horizontal="center"/>
    </xf>
    <xf numFmtId="0" fontId="17" fillId="5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166" fontId="13" fillId="0" borderId="0" xfId="0" applyNumberFormat="1" applyFont="1" applyFill="1" applyBorder="1" applyAlignment="1">
      <alignment horizontal="center"/>
    </xf>
    <xf numFmtId="167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65" fontId="13" fillId="0" borderId="0" xfId="0" applyNumberFormat="1" applyFont="1" applyFill="1" applyBorder="1" applyAlignment="1">
      <alignment horizontal="center"/>
    </xf>
    <xf numFmtId="0" fontId="13" fillId="0" borderId="38" xfId="0" applyFont="1" applyFill="1" applyBorder="1" applyAlignment="1">
      <alignment horizontal="center" vertical="center" wrapText="1"/>
    </xf>
    <xf numFmtId="165" fontId="13" fillId="0" borderId="39" xfId="0" applyNumberFormat="1" applyFont="1" applyBorder="1" applyAlignment="1">
      <alignment horizontal="center"/>
    </xf>
    <xf numFmtId="165" fontId="13" fillId="0" borderId="40" xfId="0" applyNumberFormat="1" applyFont="1" applyBorder="1" applyAlignment="1">
      <alignment horizontal="center"/>
    </xf>
    <xf numFmtId="0" fontId="0" fillId="0" borderId="40" xfId="0" applyBorder="1"/>
    <xf numFmtId="0" fontId="0" fillId="0" borderId="41" xfId="0" applyBorder="1"/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1" fillId="6" borderId="1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0" fontId="16" fillId="6" borderId="19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17" xfId="0" applyFont="1" applyFill="1" applyBorder="1" applyAlignment="1">
      <alignment horizontal="center" vertical="center" wrapText="1"/>
    </xf>
    <xf numFmtId="0" fontId="16" fillId="6" borderId="20" xfId="0" applyFont="1" applyFill="1" applyBorder="1" applyAlignment="1">
      <alignment horizontal="center" vertical="center" wrapText="1"/>
    </xf>
    <xf numFmtId="0" fontId="16" fillId="6" borderId="22" xfId="0" applyFont="1" applyFill="1" applyBorder="1" applyAlignment="1">
      <alignment horizontal="center" vertical="center" wrapText="1"/>
    </xf>
    <xf numFmtId="0" fontId="16" fillId="6" borderId="33" xfId="0" applyFont="1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o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CALCULO!$J$60:$J$69</c:f>
              <c:numCache>
                <c:formatCode>0.000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3.5937000000000001</c:v>
                </c:pt>
                <c:pt idx="5">
                  <c:v>28.749600000000001</c:v>
                </c:pt>
                <c:pt idx="6">
                  <c:v>68.280299999999997</c:v>
                </c:pt>
                <c:pt idx="7">
                  <c:v>82.65509999999999</c:v>
                </c:pt>
                <c:pt idx="8">
                  <c:v>-3.5937000000000001</c:v>
                </c:pt>
                <c:pt idx="9">
                  <c:v>-323.43299999999999</c:v>
                </c:pt>
              </c:numCache>
            </c:numRef>
          </c:xVal>
          <c:yVal>
            <c:numRef>
              <c:f>CALCULO!$I$60:$I$69</c:f>
              <c:numCache>
                <c:formatCode>General</c:formatCode>
                <c:ptCount val="10"/>
                <c:pt idx="0">
                  <c:v>0.33</c:v>
                </c:pt>
                <c:pt idx="1">
                  <c:v>0.66</c:v>
                </c:pt>
                <c:pt idx="2">
                  <c:v>0.98999999999999988</c:v>
                </c:pt>
                <c:pt idx="3">
                  <c:v>1.32</c:v>
                </c:pt>
                <c:pt idx="4">
                  <c:v>1.65</c:v>
                </c:pt>
                <c:pt idx="5">
                  <c:v>1.9799999999999998</c:v>
                </c:pt>
                <c:pt idx="6">
                  <c:v>2.3099999999999996</c:v>
                </c:pt>
                <c:pt idx="7">
                  <c:v>2.64</c:v>
                </c:pt>
                <c:pt idx="8">
                  <c:v>2.9699999999999998</c:v>
                </c:pt>
                <c:pt idx="9">
                  <c:v>3.3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130448"/>
        <c:axId val="491131232"/>
      </c:scatterChart>
      <c:valAx>
        <c:axId val="491130448"/>
        <c:scaling>
          <c:orientation val="minMax"/>
          <c:max val="150"/>
          <c:min val="-6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91131232"/>
        <c:crossesAt val="0"/>
        <c:crossBetween val="midCat"/>
        <c:majorUnit val="50"/>
      </c:valAx>
      <c:valAx>
        <c:axId val="491131232"/>
        <c:scaling>
          <c:orientation val="maxMin"/>
          <c:max val="3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91130448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u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CALCULO!$J$29:$J$38</c:f>
              <c:numCache>
                <c:formatCode>0.000</c:formatCode>
                <c:ptCount val="10"/>
                <c:pt idx="0">
                  <c:v>16.652674645333057</c:v>
                </c:pt>
                <c:pt idx="1">
                  <c:v>815.98105762131979</c:v>
                </c:pt>
                <c:pt idx="2">
                  <c:v>1665.2674645333059</c:v>
                </c:pt>
                <c:pt idx="3">
                  <c:v>2547.8592207359579</c:v>
                </c:pt>
                <c:pt idx="4">
                  <c:v>3497.0616755199421</c:v>
                </c:pt>
                <c:pt idx="5">
                  <c:v>4487.8958169172583</c:v>
                </c:pt>
                <c:pt idx="6">
                  <c:v>5320.5295491839115</c:v>
                </c:pt>
                <c:pt idx="7">
                  <c:v>5545.3406568959081</c:v>
                </c:pt>
                <c:pt idx="8">
                  <c:v>4504.5484915625921</c:v>
                </c:pt>
                <c:pt idx="9">
                  <c:v>2006.6472947626335</c:v>
                </c:pt>
              </c:numCache>
            </c:numRef>
          </c:xVal>
          <c:yVal>
            <c:numRef>
              <c:f>CALCULO!$I$29:$I$38</c:f>
              <c:numCache>
                <c:formatCode>General</c:formatCode>
                <c:ptCount val="10"/>
                <c:pt idx="0">
                  <c:v>0</c:v>
                </c:pt>
                <c:pt idx="1">
                  <c:v>0.33</c:v>
                </c:pt>
                <c:pt idx="2">
                  <c:v>0.66</c:v>
                </c:pt>
                <c:pt idx="3">
                  <c:v>0.98999999999999988</c:v>
                </c:pt>
                <c:pt idx="4">
                  <c:v>1.32</c:v>
                </c:pt>
                <c:pt idx="5">
                  <c:v>1.65</c:v>
                </c:pt>
                <c:pt idx="6">
                  <c:v>1.9799999999999998</c:v>
                </c:pt>
                <c:pt idx="7">
                  <c:v>2.3099999999999996</c:v>
                </c:pt>
                <c:pt idx="8">
                  <c:v>2.64</c:v>
                </c:pt>
                <c:pt idx="9">
                  <c:v>2.9699999999999998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789400"/>
        <c:axId val="221790184"/>
      </c:scatterChart>
      <c:valAx>
        <c:axId val="221789400"/>
        <c:scaling>
          <c:orientation val="minMax"/>
          <c:max val="95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21790184"/>
        <c:crosses val="autoZero"/>
        <c:crossBetween val="midCat"/>
        <c:majorUnit val="500"/>
        <c:dispUnits>
          <c:builtInUnit val="hundreds"/>
          <c:dispUnitsLbl>
            <c:layout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</c:dispUnitsLbl>
        </c:dispUnits>
      </c:valAx>
      <c:valAx>
        <c:axId val="221790184"/>
        <c:scaling>
          <c:orientation val="maxMin"/>
          <c:max val="3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21789400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747504</xdr:colOff>
      <xdr:row>74</xdr:row>
      <xdr:rowOff>59440</xdr:rowOff>
    </xdr:from>
    <xdr:to>
      <xdr:col>10</xdr:col>
      <xdr:colOff>114300</xdr:colOff>
      <xdr:row>83</xdr:row>
      <xdr:rowOff>76200</xdr:rowOff>
    </xdr:to>
    <xdr:pic>
      <xdr:nvPicPr>
        <xdr:cNvPr id="14" name="13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6959" t="25335" r="23342" b="50988"/>
        <a:stretch/>
      </xdr:blipFill>
      <xdr:spPr>
        <a:xfrm>
          <a:off x="5443329" y="14251690"/>
          <a:ext cx="1652796" cy="1731260"/>
        </a:xfrm>
        <a:prstGeom prst="rect">
          <a:avLst/>
        </a:prstGeom>
      </xdr:spPr>
    </xdr:pic>
    <xdr:clientData/>
  </xdr:twoCellAnchor>
  <xdr:twoCellAnchor>
    <xdr:from>
      <xdr:col>8</xdr:col>
      <xdr:colOff>602592</xdr:colOff>
      <xdr:row>8</xdr:row>
      <xdr:rowOff>38878</xdr:rowOff>
    </xdr:from>
    <xdr:to>
      <xdr:col>8</xdr:col>
      <xdr:colOff>612312</xdr:colOff>
      <xdr:row>12</xdr:row>
      <xdr:rowOff>0</xdr:rowOff>
    </xdr:to>
    <xdr:cxnSp macro="">
      <xdr:nvCxnSpPr>
        <xdr:cNvPr id="27" name="26 Conector recto de flecha"/>
        <xdr:cNvCxnSpPr/>
      </xdr:nvCxnSpPr>
      <xdr:spPr>
        <a:xfrm>
          <a:off x="6667490" y="1302398"/>
          <a:ext cx="9720" cy="738673"/>
        </a:xfrm>
        <a:prstGeom prst="straightConnector1">
          <a:avLst/>
        </a:prstGeom>
        <a:ln w="28575"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619408</xdr:colOff>
      <xdr:row>11</xdr:row>
      <xdr:rowOff>179294</xdr:rowOff>
    </xdr:from>
    <xdr:to>
      <xdr:col>8</xdr:col>
      <xdr:colOff>630614</xdr:colOff>
      <xdr:row>21</xdr:row>
      <xdr:rowOff>89647</xdr:rowOff>
    </xdr:to>
    <xdr:cxnSp macro="">
      <xdr:nvCxnSpPr>
        <xdr:cNvPr id="29" name="28 Conector recto de flecha"/>
        <xdr:cNvCxnSpPr/>
      </xdr:nvCxnSpPr>
      <xdr:spPr>
        <a:xfrm>
          <a:off x="6684306" y="2025978"/>
          <a:ext cx="11206" cy="1922266"/>
        </a:xfrm>
        <a:prstGeom prst="straightConnector1">
          <a:avLst/>
        </a:prstGeom>
        <a:ln w="28575"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203377</xdr:colOff>
      <xdr:row>7</xdr:row>
      <xdr:rowOff>116698</xdr:rowOff>
    </xdr:from>
    <xdr:to>
      <xdr:col>8</xdr:col>
      <xdr:colOff>544453</xdr:colOff>
      <xdr:row>7</xdr:row>
      <xdr:rowOff>123199</xdr:rowOff>
    </xdr:to>
    <xdr:cxnSp macro="">
      <xdr:nvCxnSpPr>
        <xdr:cNvPr id="31" name="30 Conector recto de flecha"/>
        <xdr:cNvCxnSpPr/>
      </xdr:nvCxnSpPr>
      <xdr:spPr>
        <a:xfrm flipV="1">
          <a:off x="6313754" y="1168042"/>
          <a:ext cx="341076" cy="6501"/>
        </a:xfrm>
        <a:prstGeom prst="straightConnector1">
          <a:avLst/>
        </a:prstGeom>
        <a:ln w="28575"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58317</xdr:colOff>
      <xdr:row>32</xdr:row>
      <xdr:rowOff>165229</xdr:rowOff>
    </xdr:from>
    <xdr:to>
      <xdr:col>2</xdr:col>
      <xdr:colOff>242986</xdr:colOff>
      <xdr:row>36</xdr:row>
      <xdr:rowOff>165229</xdr:rowOff>
    </xdr:to>
    <xdr:sp macro="" textlink="">
      <xdr:nvSpPr>
        <xdr:cNvPr id="25" name="24 Disco magnético"/>
        <xdr:cNvSpPr/>
      </xdr:nvSpPr>
      <xdr:spPr>
        <a:xfrm>
          <a:off x="816429" y="6230127"/>
          <a:ext cx="942781" cy="777551"/>
        </a:xfrm>
        <a:prstGeom prst="flowChartMagneticDisk">
          <a:avLst/>
        </a:prstGeom>
        <a:solidFill>
          <a:schemeClr val="bg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2</xdr:col>
      <xdr:colOff>291185</xdr:colOff>
      <xdr:row>33</xdr:row>
      <xdr:rowOff>155522</xdr:rowOff>
    </xdr:from>
    <xdr:to>
      <xdr:col>3</xdr:col>
      <xdr:colOff>106516</xdr:colOff>
      <xdr:row>33</xdr:row>
      <xdr:rowOff>165241</xdr:rowOff>
    </xdr:to>
    <xdr:cxnSp macro="">
      <xdr:nvCxnSpPr>
        <xdr:cNvPr id="28" name="27 Conector recto de flecha"/>
        <xdr:cNvCxnSpPr/>
      </xdr:nvCxnSpPr>
      <xdr:spPr>
        <a:xfrm flipV="1">
          <a:off x="1176216" y="6430116"/>
          <a:ext cx="577331" cy="9719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291592</xdr:colOff>
      <xdr:row>34</xdr:row>
      <xdr:rowOff>126364</xdr:rowOff>
    </xdr:from>
    <xdr:to>
      <xdr:col>3</xdr:col>
      <xdr:colOff>106923</xdr:colOff>
      <xdr:row>34</xdr:row>
      <xdr:rowOff>136083</xdr:rowOff>
    </xdr:to>
    <xdr:cxnSp macro="">
      <xdr:nvCxnSpPr>
        <xdr:cNvPr id="33" name="32 Conector recto de flecha"/>
        <xdr:cNvCxnSpPr/>
      </xdr:nvCxnSpPr>
      <xdr:spPr>
        <a:xfrm flipV="1">
          <a:off x="1807816" y="6580037"/>
          <a:ext cx="573444" cy="9719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298201</xdr:colOff>
      <xdr:row>35</xdr:row>
      <xdr:rowOff>64937</xdr:rowOff>
    </xdr:from>
    <xdr:to>
      <xdr:col>3</xdr:col>
      <xdr:colOff>113532</xdr:colOff>
      <xdr:row>35</xdr:row>
      <xdr:rowOff>74656</xdr:rowOff>
    </xdr:to>
    <xdr:cxnSp macro="">
      <xdr:nvCxnSpPr>
        <xdr:cNvPr id="34" name="33 Conector recto de flecha"/>
        <xdr:cNvCxnSpPr/>
      </xdr:nvCxnSpPr>
      <xdr:spPr>
        <a:xfrm flipV="1">
          <a:off x="1814425" y="6712998"/>
          <a:ext cx="573444" cy="9719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296466</xdr:colOff>
      <xdr:row>36</xdr:row>
      <xdr:rowOff>13230</xdr:rowOff>
    </xdr:from>
    <xdr:to>
      <xdr:col>3</xdr:col>
      <xdr:colOff>111797</xdr:colOff>
      <xdr:row>36</xdr:row>
      <xdr:rowOff>22949</xdr:rowOff>
    </xdr:to>
    <xdr:cxnSp macro="">
      <xdr:nvCxnSpPr>
        <xdr:cNvPr id="35" name="34 Conector recto de flecha"/>
        <xdr:cNvCxnSpPr/>
      </xdr:nvCxnSpPr>
      <xdr:spPr>
        <a:xfrm flipV="1">
          <a:off x="1181497" y="6859324"/>
          <a:ext cx="577331" cy="9719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194390</xdr:colOff>
      <xdr:row>33</xdr:row>
      <xdr:rowOff>87474</xdr:rowOff>
    </xdr:from>
    <xdr:to>
      <xdr:col>3</xdr:col>
      <xdr:colOff>204109</xdr:colOff>
      <xdr:row>36</xdr:row>
      <xdr:rowOff>106913</xdr:rowOff>
    </xdr:to>
    <xdr:cxnSp macro="">
      <xdr:nvCxnSpPr>
        <xdr:cNvPr id="37" name="36 Conector recto de flecha"/>
        <xdr:cNvCxnSpPr/>
      </xdr:nvCxnSpPr>
      <xdr:spPr>
        <a:xfrm>
          <a:off x="2468727" y="6346760"/>
          <a:ext cx="9719" cy="602602"/>
        </a:xfrm>
        <a:prstGeom prst="straightConnector1">
          <a:avLst/>
        </a:prstGeom>
        <a:ln>
          <a:headEnd type="arrow"/>
          <a:tailEnd type="arrow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  <xdr:oneCellAnchor>
    <xdr:from>
      <xdr:col>4</xdr:col>
      <xdr:colOff>686605</xdr:colOff>
      <xdr:row>13</xdr:row>
      <xdr:rowOff>137334</xdr:rowOff>
    </xdr:from>
    <xdr:ext cx="875450" cy="2437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/>
            <xdr:cNvSpPr txBox="1"/>
          </xdr:nvSpPr>
          <xdr:spPr>
            <a:xfrm>
              <a:off x="3734605" y="2120266"/>
              <a:ext cx="875450" cy="2437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PE" sz="1100" b="1">
                  <a:ea typeface="Cambria Math" panose="02040503050406030204" pitchFamily="18" charset="0"/>
                </a:rPr>
                <a:t>V</a:t>
              </a:r>
              <a14:m>
                <m:oMath xmlns:m="http://schemas.openxmlformats.org/officeDocument/2006/math">
                  <m:r>
                    <a:rPr lang="es-PE" sz="11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</m:t>
                  </m:r>
                  <m:r>
                    <a:rPr lang="es-PE" sz="11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𝝅</m:t>
                  </m:r>
                  <m:r>
                    <a:rPr lang="es-PE" sz="11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∗</m:t>
                  </m:r>
                  <m:sSup>
                    <m:sSupPr>
                      <m:ctrlPr>
                        <a:rPr lang="es-PE" sz="11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sSupPr>
                    <m:e>
                      <m:r>
                        <a:rPr lang="es-PE" sz="11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𝑫</m:t>
                      </m:r>
                    </m:e>
                    <m:sup>
                      <m:r>
                        <a:rPr lang="es-PE" sz="11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𝟐</m:t>
                      </m:r>
                    </m:sup>
                  </m:sSup>
                  <m:r>
                    <a:rPr lang="es-PE" sz="1100" b="1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∗</m:t>
                  </m:r>
                  <m:f>
                    <m:fPr>
                      <m:ctrlPr>
                        <a:rPr lang="es-PE" sz="11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r>
                        <a:rPr lang="es-PE" sz="11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𝒉</m:t>
                      </m:r>
                    </m:num>
                    <m:den>
                      <m:r>
                        <a:rPr lang="es-PE" sz="11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𝟒</m:t>
                      </m:r>
                    </m:den>
                  </m:f>
                </m:oMath>
              </a14:m>
              <a:endParaRPr lang="es-PE" sz="1100" b="1"/>
            </a:p>
          </xdr:txBody>
        </xdr:sp>
      </mc:Choice>
      <mc:Fallback xmlns="">
        <xdr:sp macro="" textlink="">
          <xdr:nvSpPr>
            <xdr:cNvPr id="6" name="CuadroTexto 5"/>
            <xdr:cNvSpPr txBox="1"/>
          </xdr:nvSpPr>
          <xdr:spPr>
            <a:xfrm>
              <a:off x="3734605" y="2120266"/>
              <a:ext cx="875450" cy="2437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PE" sz="1100" b="1">
                  <a:ea typeface="Cambria Math" panose="02040503050406030204" pitchFamily="18" charset="0"/>
                </a:rPr>
                <a:t>V</a:t>
              </a:r>
              <a:r>
                <a:rPr lang="es-PE" sz="11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=𝝅∗𝑫^𝟐∗𝒉/𝟒</a:t>
              </a:r>
              <a:endParaRPr lang="es-PE" sz="1100" b="1"/>
            </a:p>
          </xdr:txBody>
        </xdr:sp>
      </mc:Fallback>
    </mc:AlternateContent>
    <xdr:clientData/>
  </xdr:oneCellAnchor>
  <xdr:twoCellAnchor>
    <xdr:from>
      <xdr:col>4</xdr:col>
      <xdr:colOff>330435</xdr:colOff>
      <xdr:row>22</xdr:row>
      <xdr:rowOff>153917</xdr:rowOff>
    </xdr:from>
    <xdr:to>
      <xdr:col>8</xdr:col>
      <xdr:colOff>556895</xdr:colOff>
      <xdr:row>22</xdr:row>
      <xdr:rowOff>155518</xdr:rowOff>
    </xdr:to>
    <xdr:cxnSp macro="">
      <xdr:nvCxnSpPr>
        <xdr:cNvPr id="48" name="28 Conector recto de flecha"/>
        <xdr:cNvCxnSpPr/>
      </xdr:nvCxnSpPr>
      <xdr:spPr>
        <a:xfrm flipH="1" flipV="1">
          <a:off x="3385624" y="4116676"/>
          <a:ext cx="3281648" cy="1601"/>
        </a:xfrm>
        <a:prstGeom prst="straightConnector1">
          <a:avLst/>
        </a:prstGeom>
        <a:ln w="28575"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662667</xdr:colOff>
      <xdr:row>38</xdr:row>
      <xdr:rowOff>11809</xdr:rowOff>
    </xdr:from>
    <xdr:to>
      <xdr:col>7</xdr:col>
      <xdr:colOff>514350</xdr:colOff>
      <xdr:row>47</xdr:row>
      <xdr:rowOff>83647</xdr:rowOff>
    </xdr:to>
    <xdr:pic>
      <xdr:nvPicPr>
        <xdr:cNvPr id="32" name="Imagen 31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34473"/>
        <a:stretch/>
      </xdr:blipFill>
      <xdr:spPr>
        <a:xfrm>
          <a:off x="3834492" y="7241284"/>
          <a:ext cx="1375683" cy="1786338"/>
        </a:xfrm>
        <a:prstGeom prst="rect">
          <a:avLst/>
        </a:prstGeom>
      </xdr:spPr>
    </xdr:pic>
    <xdr:clientData/>
  </xdr:twoCellAnchor>
  <xdr:oneCellAnchor>
    <xdr:from>
      <xdr:col>3</xdr:col>
      <xdr:colOff>621650</xdr:colOff>
      <xdr:row>31</xdr:row>
      <xdr:rowOff>46167</xdr:rowOff>
    </xdr:from>
    <xdr:ext cx="1125757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6" name="CuadroTexto 35"/>
            <xdr:cNvSpPr txBox="1"/>
          </xdr:nvSpPr>
          <xdr:spPr>
            <a:xfrm>
              <a:off x="2904979" y="5850186"/>
              <a:ext cx="112575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PE" sz="11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𝐶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𝑊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𝐻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𝑅</m:t>
                    </m:r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36" name="CuadroTexto 35"/>
            <xdr:cNvSpPr txBox="1"/>
          </xdr:nvSpPr>
          <xdr:spPr>
            <a:xfrm>
              <a:off x="2904979" y="5850186"/>
              <a:ext cx="112575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PE" sz="1100" b="0" i="0">
                  <a:latin typeface="Cambria Math" panose="02040503050406030204" pitchFamily="18" charset="0"/>
                </a:rPr>
                <a:t>𝑇</a:t>
              </a:r>
              <a:r>
                <a:rPr lang="es-PE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=𝐶∗𝑊∗𝐻∗𝑅</a:t>
              </a:r>
              <a:endParaRPr lang="es-PE" sz="1100"/>
            </a:p>
          </xdr:txBody>
        </xdr:sp>
      </mc:Fallback>
    </mc:AlternateContent>
    <xdr:clientData/>
  </xdr:oneCellAnchor>
  <xdr:oneCellAnchor>
    <xdr:from>
      <xdr:col>3</xdr:col>
      <xdr:colOff>628377</xdr:colOff>
      <xdr:row>27</xdr:row>
      <xdr:rowOff>93005</xdr:rowOff>
    </xdr:from>
    <xdr:ext cx="599010" cy="3397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8" name="CuadroTexto 37"/>
            <xdr:cNvSpPr txBox="1"/>
          </xdr:nvSpPr>
          <xdr:spPr>
            <a:xfrm>
              <a:off x="2273604" y="4708300"/>
              <a:ext cx="599010" cy="3397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PE" sz="1100" b="0" i="1">
                        <a:latin typeface="Cambria Math" panose="02040503050406030204" pitchFamily="18" charset="0"/>
                      </a:rPr>
                      <m:t>𝐹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PE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es-PE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s-PE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𝐻</m:t>
                            </m:r>
                          </m:e>
                          <m:sup>
                            <m:r>
                              <a:rPr lang="es-PE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num>
                      <m:den>
                        <m:r>
                          <a:rPr lang="es-PE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𝐷</m:t>
                        </m:r>
                        <m:r>
                          <a:rPr lang="es-PE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∗</m:t>
                        </m:r>
                        <m:r>
                          <a:rPr lang="es-PE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𝑡</m:t>
                        </m:r>
                      </m:den>
                    </m:f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38" name="CuadroTexto 37"/>
            <xdr:cNvSpPr txBox="1"/>
          </xdr:nvSpPr>
          <xdr:spPr>
            <a:xfrm>
              <a:off x="2273604" y="4708300"/>
              <a:ext cx="599010" cy="3397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PE" sz="1100" b="0" i="0">
                  <a:latin typeface="Cambria Math" panose="02040503050406030204" pitchFamily="18" charset="0"/>
                </a:rPr>
                <a:t>𝐹</a:t>
              </a:r>
              <a:r>
                <a:rPr lang="es-PE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=𝐻^2/(𝐷∗𝑡)</a:t>
              </a:r>
              <a:endParaRPr lang="es-PE" sz="1100"/>
            </a:p>
          </xdr:txBody>
        </xdr:sp>
      </mc:Fallback>
    </mc:AlternateContent>
    <xdr:clientData/>
  </xdr:oneCellAnchor>
  <xdr:oneCellAnchor>
    <xdr:from>
      <xdr:col>3</xdr:col>
      <xdr:colOff>753658</xdr:colOff>
      <xdr:row>40</xdr:row>
      <xdr:rowOff>188432</xdr:rowOff>
    </xdr:from>
    <xdr:ext cx="67480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/>
            <xdr:cNvSpPr txBox="1"/>
          </xdr:nvSpPr>
          <xdr:spPr>
            <a:xfrm>
              <a:off x="2398885" y="7280227"/>
              <a:ext cx="67480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PE" sz="1100" b="0" i="1">
                        <a:latin typeface="Cambria Math" panose="02040503050406030204" pitchFamily="18" charset="0"/>
                      </a:rPr>
                      <m:t>𝐴𝑠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𝑇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/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𝑓𝑠</m:t>
                    </m:r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5" name="CuadroTexto 4"/>
            <xdr:cNvSpPr txBox="1"/>
          </xdr:nvSpPr>
          <xdr:spPr>
            <a:xfrm>
              <a:off x="2398885" y="7280227"/>
              <a:ext cx="67480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PE" sz="1100" b="0" i="0">
                  <a:latin typeface="Cambria Math" panose="02040503050406030204" pitchFamily="18" charset="0"/>
                </a:rPr>
                <a:t>𝐴𝑠</a:t>
              </a:r>
              <a:r>
                <a:rPr lang="es-PE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=𝑇/𝑓𝑠</a:t>
              </a:r>
              <a:endParaRPr lang="es-PE" sz="1100"/>
            </a:p>
          </xdr:txBody>
        </xdr:sp>
      </mc:Fallback>
    </mc:AlternateContent>
    <xdr:clientData/>
  </xdr:oneCellAnchor>
  <xdr:oneCellAnchor>
    <xdr:from>
      <xdr:col>4</xdr:col>
      <xdr:colOff>567577</xdr:colOff>
      <xdr:row>60</xdr:row>
      <xdr:rowOff>171114</xdr:rowOff>
    </xdr:from>
    <xdr:ext cx="950645" cy="1753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/>
            <xdr:cNvSpPr txBox="1"/>
          </xdr:nvSpPr>
          <xdr:spPr>
            <a:xfrm>
              <a:off x="2974804" y="11705023"/>
              <a:ext cx="950645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PE" sz="1100" b="0" i="1">
                        <a:latin typeface="Cambria Math" panose="02040503050406030204" pitchFamily="18" charset="0"/>
                      </a:rPr>
                      <m:t>𝑀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𝑐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𝑤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sSup>
                      <m:sSupPr>
                        <m:ctrlPr>
                          <a:rPr lang="es-PE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PE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𝐻</m:t>
                        </m:r>
                      </m:e>
                      <m:sup>
                        <m:r>
                          <a:rPr lang="es-PE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3</m:t>
                        </m:r>
                      </m:sup>
                    </m:sSup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7" name="CuadroTexto 6"/>
            <xdr:cNvSpPr txBox="1"/>
          </xdr:nvSpPr>
          <xdr:spPr>
            <a:xfrm>
              <a:off x="2974804" y="11705023"/>
              <a:ext cx="950645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PE" sz="1100" b="0" i="0">
                  <a:latin typeface="Cambria Math" panose="02040503050406030204" pitchFamily="18" charset="0"/>
                </a:rPr>
                <a:t>𝑀</a:t>
              </a:r>
              <a:r>
                <a:rPr lang="es-PE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=𝑐∗𝑤∗𝐻^3</a:t>
              </a:r>
              <a:endParaRPr lang="es-PE" sz="1100"/>
            </a:p>
          </xdr:txBody>
        </xdr:sp>
      </mc:Fallback>
    </mc:AlternateContent>
    <xdr:clientData/>
  </xdr:oneCellAnchor>
  <xdr:oneCellAnchor>
    <xdr:from>
      <xdr:col>4</xdr:col>
      <xdr:colOff>584970</xdr:colOff>
      <xdr:row>61</xdr:row>
      <xdr:rowOff>184261</xdr:rowOff>
    </xdr:from>
    <xdr:ext cx="85959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2" name="CuadroTexto 51"/>
            <xdr:cNvSpPr txBox="1"/>
          </xdr:nvSpPr>
          <xdr:spPr>
            <a:xfrm>
              <a:off x="2992197" y="11908670"/>
              <a:ext cx="85959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PE" sz="1100" b="0" i="1">
                        <a:latin typeface="Cambria Math" panose="02040503050406030204" pitchFamily="18" charset="0"/>
                      </a:rPr>
                      <m:t>𝑀𝑢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.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5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𝑀</m:t>
                    </m:r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52" name="CuadroTexto 51"/>
            <xdr:cNvSpPr txBox="1"/>
          </xdr:nvSpPr>
          <xdr:spPr>
            <a:xfrm>
              <a:off x="2992197" y="11908670"/>
              <a:ext cx="85959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PE" sz="1100" b="0" i="0">
                  <a:latin typeface="Cambria Math" panose="02040503050406030204" pitchFamily="18" charset="0"/>
                </a:rPr>
                <a:t>𝑀𝑢</a:t>
              </a:r>
              <a:r>
                <a:rPr lang="es-PE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=1.5∗𝑀</a:t>
              </a:r>
              <a:endParaRPr lang="es-PE" sz="1100"/>
            </a:p>
          </xdr:txBody>
        </xdr:sp>
      </mc:Fallback>
    </mc:AlternateContent>
    <xdr:clientData/>
  </xdr:oneCellAnchor>
  <xdr:oneCellAnchor>
    <xdr:from>
      <xdr:col>4</xdr:col>
      <xdr:colOff>606855</xdr:colOff>
      <xdr:row>63</xdr:row>
      <xdr:rowOff>48152</xdr:rowOff>
    </xdr:from>
    <xdr:ext cx="700480" cy="34834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/>
            <xdr:cNvSpPr txBox="1"/>
          </xdr:nvSpPr>
          <xdr:spPr>
            <a:xfrm>
              <a:off x="3016680" y="12144902"/>
              <a:ext cx="700480" cy="3483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PE" sz="1100" i="0">
                  <a:latin typeface="+mn-lt"/>
                </a:rPr>
                <a:t>C=</a:t>
              </a:r>
              <a14:m>
                <m:oMath xmlns:m="http://schemas.openxmlformats.org/officeDocument/2006/math">
                  <m:f>
                    <m:fPr>
                      <m:ctrlPr>
                        <a:rPr lang="es-PE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PE" sz="1100" b="0" i="1">
                          <a:latin typeface="Cambria Math" panose="02040503050406030204" pitchFamily="18" charset="0"/>
                        </a:rPr>
                        <m:t>𝑀𝑢</m:t>
                      </m:r>
                      <m:r>
                        <a:rPr lang="es-PE" sz="1100" b="0" i="1"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es-PE" sz="1100" b="0" i="1">
                          <a:latin typeface="Cambria Math" panose="02040503050406030204" pitchFamily="18" charset="0"/>
                        </a:rPr>
                        <m:t>𝑘𝑔</m:t>
                      </m:r>
                      <m:r>
                        <a:rPr lang="es-PE" sz="1100" b="0" i="1">
                          <a:latin typeface="Cambria Math" panose="02040503050406030204" pitchFamily="18" charset="0"/>
                        </a:rPr>
                        <m:t>.</m:t>
                      </m:r>
                      <m:f>
                        <m:fPr>
                          <m:ctrlPr>
                            <a:rPr lang="es-PE" sz="11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s-PE" sz="1100" b="0" i="1">
                              <a:latin typeface="Cambria Math" panose="02040503050406030204" pitchFamily="18" charset="0"/>
                            </a:rPr>
                            <m:t>𝑐𝑚</m:t>
                          </m:r>
                        </m:num>
                        <m:den>
                          <m:r>
                            <a:rPr lang="es-PE" sz="1100" b="0" i="1">
                              <a:latin typeface="Cambria Math" panose="02040503050406030204" pitchFamily="18" charset="0"/>
                            </a:rPr>
                            <m:t>𝑚</m:t>
                          </m:r>
                        </m:den>
                      </m:f>
                      <m:r>
                        <a:rPr lang="es-PE" sz="1100" b="0" i="1">
                          <a:latin typeface="Cambria Math" panose="02040503050406030204" pitchFamily="18" charset="0"/>
                        </a:rPr>
                        <m:t>)</m:t>
                      </m:r>
                    </m:num>
                    <m:den>
                      <m:r>
                        <a:rPr lang="es-PE" sz="11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∅</m:t>
                      </m:r>
                      <m:r>
                        <a:rPr lang="es-PE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.</m:t>
                      </m:r>
                      <m:r>
                        <a:rPr lang="es-PE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𝑓𝑐</m:t>
                      </m:r>
                      <m:r>
                        <a:rPr lang="es-PE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.</m:t>
                      </m:r>
                      <m:r>
                        <a:rPr lang="es-PE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𝑏</m:t>
                      </m:r>
                      <m:r>
                        <a:rPr lang="es-PE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.</m:t>
                      </m:r>
                      <m:sSup>
                        <m:sSupPr>
                          <m:ctrlPr>
                            <a:rPr lang="es-PE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es-PE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𝑑</m:t>
                          </m:r>
                        </m:e>
                        <m:sup>
                          <m:r>
                            <a:rPr lang="es-PE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</m:den>
                  </m:f>
                </m:oMath>
              </a14:m>
              <a:endParaRPr lang="es-PE" sz="1100"/>
            </a:p>
          </xdr:txBody>
        </xdr:sp>
      </mc:Choice>
      <mc:Fallback xmlns="">
        <xdr:sp macro="" textlink="">
          <xdr:nvSpPr>
            <xdr:cNvPr id="8" name="CuadroTexto 7"/>
            <xdr:cNvSpPr txBox="1"/>
          </xdr:nvSpPr>
          <xdr:spPr>
            <a:xfrm>
              <a:off x="3016680" y="12144902"/>
              <a:ext cx="700480" cy="3483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PE" sz="1100" i="0">
                  <a:latin typeface="+mn-lt"/>
                </a:rPr>
                <a:t>C=</a:t>
              </a:r>
              <a:r>
                <a:rPr lang="es-PE" sz="1100" i="0">
                  <a:latin typeface="Cambria Math" panose="02040503050406030204" pitchFamily="18" charset="0"/>
                </a:rPr>
                <a:t>(</a:t>
              </a:r>
              <a:r>
                <a:rPr lang="es-PE" sz="1100" b="0" i="0">
                  <a:latin typeface="Cambria Math" panose="02040503050406030204" pitchFamily="18" charset="0"/>
                </a:rPr>
                <a:t>𝑀𝑢(𝑘𝑔.𝑐𝑚/𝑚))/(</a:t>
              </a:r>
              <a:r>
                <a:rPr lang="es-PE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∅</a:t>
              </a:r>
              <a:r>
                <a:rPr lang="es-PE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.𝑓𝑐.𝑏.𝑑^2 )</a:t>
              </a:r>
              <a:endParaRPr lang="es-PE" sz="1100"/>
            </a:p>
          </xdr:txBody>
        </xdr:sp>
      </mc:Fallback>
    </mc:AlternateContent>
    <xdr:clientData/>
  </xdr:oneCellAnchor>
  <xdr:oneCellAnchor>
    <xdr:from>
      <xdr:col>1</xdr:col>
      <xdr:colOff>339789</xdr:colOff>
      <xdr:row>67</xdr:row>
      <xdr:rowOff>4470</xdr:rowOff>
    </xdr:from>
    <xdr:ext cx="13728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/>
            <xdr:cNvSpPr txBox="1"/>
          </xdr:nvSpPr>
          <xdr:spPr>
            <a:xfrm>
              <a:off x="1097901" y="13164521"/>
              <a:ext cx="13728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PE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𝜔</m:t>
                    </m:r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9" name="CuadroTexto 8"/>
            <xdr:cNvSpPr txBox="1"/>
          </xdr:nvSpPr>
          <xdr:spPr>
            <a:xfrm>
              <a:off x="1097901" y="13164521"/>
              <a:ext cx="13728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PE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𝜔</a:t>
              </a:r>
              <a:endParaRPr lang="es-PE" sz="1100"/>
            </a:p>
          </xdr:txBody>
        </xdr:sp>
      </mc:Fallback>
    </mc:AlternateContent>
    <xdr:clientData/>
  </xdr:oneCellAnchor>
  <xdr:oneCellAnchor>
    <xdr:from>
      <xdr:col>4</xdr:col>
      <xdr:colOff>504841</xdr:colOff>
      <xdr:row>64</xdr:row>
      <xdr:rowOff>179119</xdr:rowOff>
    </xdr:from>
    <xdr:ext cx="983603" cy="3515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/>
            <xdr:cNvSpPr txBox="1"/>
          </xdr:nvSpPr>
          <xdr:spPr>
            <a:xfrm>
              <a:off x="2914666" y="12466369"/>
              <a:ext cx="983603" cy="3515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PE" sz="1100" b="0" i="1">
                        <a:latin typeface="Cambria Math" panose="02040503050406030204" pitchFamily="18" charset="0"/>
                      </a:rPr>
                      <m:t>𝐴𝑠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𝜔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.</m:t>
                    </m:r>
                    <m:f>
                      <m:fPr>
                        <m:ctrlPr>
                          <a:rPr lang="es-PE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PE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𝑓𝑐</m:t>
                        </m:r>
                      </m:num>
                      <m:den>
                        <m:r>
                          <a:rPr lang="es-PE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𝑓𝑦</m:t>
                        </m:r>
                      </m:den>
                    </m:f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.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𝑏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.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𝑑</m:t>
                    </m:r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11" name="CuadroTexto 10"/>
            <xdr:cNvSpPr txBox="1"/>
          </xdr:nvSpPr>
          <xdr:spPr>
            <a:xfrm>
              <a:off x="2914666" y="12466369"/>
              <a:ext cx="983603" cy="3515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PE" sz="1100" b="0" i="0">
                  <a:latin typeface="Cambria Math" panose="02040503050406030204" pitchFamily="18" charset="0"/>
                </a:rPr>
                <a:t>𝐴𝑠</a:t>
              </a:r>
              <a:r>
                <a:rPr lang="es-PE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=𝜔.𝑓𝑐/𝑓𝑦.𝑏.𝑑</a:t>
              </a:r>
              <a:endParaRPr lang="es-PE" sz="1100"/>
            </a:p>
          </xdr:txBody>
        </xdr:sp>
      </mc:Fallback>
    </mc:AlternateContent>
    <xdr:clientData/>
  </xdr:oneCellAnchor>
  <xdr:oneCellAnchor>
    <xdr:from>
      <xdr:col>4</xdr:col>
      <xdr:colOff>235094</xdr:colOff>
      <xdr:row>73</xdr:row>
      <xdr:rowOff>103352</xdr:rowOff>
    </xdr:from>
    <xdr:ext cx="2066528" cy="39286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2" name="CuadroTexto 41"/>
            <xdr:cNvSpPr txBox="1"/>
          </xdr:nvSpPr>
          <xdr:spPr>
            <a:xfrm>
              <a:off x="2644919" y="14105102"/>
              <a:ext cx="2066528" cy="3928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PE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PE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𝐴𝑠</m:t>
                        </m:r>
                      </m:e>
                      <m:sub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𝑚𝑖𝑛</m:t>
                        </m:r>
                      </m:sub>
                    </m:sSub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=.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0015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𝑏𝑑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𝜑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.</m:t>
                    </m:r>
                    <m:f>
                      <m:fPr>
                        <m:ctrlPr>
                          <a:rPr lang="es-PE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ad>
                          <m:radPr>
                            <m:degHide m:val="on"/>
                            <m:ctrlPr>
                              <a:rPr lang="es-PE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radPr>
                          <m:deg/>
                          <m:e>
                            <m:r>
                              <a:rPr lang="es-P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𝑓𝑐</m:t>
                            </m:r>
                          </m:e>
                        </m:rad>
                        <m:r>
                          <a:rPr lang="es-PE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es-PE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𝑓𝑦</m:t>
                        </m:r>
                      </m:den>
                    </m:f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.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𝑏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.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𝑑</m:t>
                    </m:r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42" name="CuadroTexto 41"/>
            <xdr:cNvSpPr txBox="1"/>
          </xdr:nvSpPr>
          <xdr:spPr>
            <a:xfrm>
              <a:off x="2644919" y="14105102"/>
              <a:ext cx="2066528" cy="3928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PE" sz="1100" b="0" i="0">
                  <a:latin typeface="Cambria Math" panose="02040503050406030204" pitchFamily="18" charset="0"/>
                </a:rPr>
                <a:t>〖</a:t>
              </a:r>
              <a:r>
                <a:rPr lang="es-PE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𝐴𝑠〗_</a:t>
              </a:r>
              <a:r>
                <a:rPr lang="es-PE" sz="1100" b="0" i="0">
                  <a:latin typeface="Cambria Math" panose="02040503050406030204" pitchFamily="18" charset="0"/>
                </a:rPr>
                <a:t>𝑚𝑖𝑛</a:t>
              </a:r>
              <a:r>
                <a:rPr lang="es-PE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=.0015𝑏𝑑=𝜑.(√</a:t>
              </a:r>
              <a:r>
                <a:rPr lang="es-PE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𝑓𝑐</a:t>
              </a:r>
              <a:r>
                <a:rPr lang="es-PE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 </a:t>
              </a:r>
              <a:r>
                <a:rPr lang="es-PE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)/𝑓𝑦.𝑏.𝑑</a:t>
              </a:r>
              <a:endParaRPr lang="es-PE" sz="1100"/>
            </a:p>
          </xdr:txBody>
        </xdr:sp>
      </mc:Fallback>
    </mc:AlternateContent>
    <xdr:clientData/>
  </xdr:oneCellAnchor>
  <xdr:oneCellAnchor>
    <xdr:from>
      <xdr:col>3</xdr:col>
      <xdr:colOff>184473</xdr:colOff>
      <xdr:row>88</xdr:row>
      <xdr:rowOff>176117</xdr:rowOff>
    </xdr:from>
    <xdr:ext cx="1142171" cy="1753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CuadroTexto 12"/>
            <xdr:cNvSpPr txBox="1"/>
          </xdr:nvSpPr>
          <xdr:spPr>
            <a:xfrm>
              <a:off x="1832298" y="16320992"/>
              <a:ext cx="1142171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PE" sz="1100" b="0" i="1">
                        <a:latin typeface="Cambria Math" panose="02040503050406030204" pitchFamily="18" charset="0"/>
                      </a:rPr>
                      <m:t>𝑉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𝑐𝑜𝑒𝑓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𝑤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sSup>
                      <m:sSupPr>
                        <m:ctrlPr>
                          <a:rPr lang="es-PE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PE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𝐻</m:t>
                        </m:r>
                      </m:e>
                      <m:sup>
                        <m:r>
                          <a:rPr lang="es-PE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13" name="CuadroTexto 12"/>
            <xdr:cNvSpPr txBox="1"/>
          </xdr:nvSpPr>
          <xdr:spPr>
            <a:xfrm>
              <a:off x="1832298" y="16320992"/>
              <a:ext cx="1142171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PE" sz="1100" b="0" i="0">
                  <a:latin typeface="Cambria Math" panose="02040503050406030204" pitchFamily="18" charset="0"/>
                </a:rPr>
                <a:t>𝑉</a:t>
              </a:r>
              <a:r>
                <a:rPr lang="es-PE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=𝑐𝑜𝑒𝑓∗𝑤∗𝐻^2</a:t>
              </a:r>
              <a:endParaRPr lang="es-PE" sz="1100"/>
            </a:p>
          </xdr:txBody>
        </xdr:sp>
      </mc:Fallback>
    </mc:AlternateContent>
    <xdr:clientData/>
  </xdr:oneCellAnchor>
  <xdr:oneCellAnchor>
    <xdr:from>
      <xdr:col>3</xdr:col>
      <xdr:colOff>181368</xdr:colOff>
      <xdr:row>90</xdr:row>
      <xdr:rowOff>21380</xdr:rowOff>
    </xdr:from>
    <xdr:ext cx="1458091" cy="1753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4" name="CuadroTexto 43"/>
            <xdr:cNvSpPr txBox="1"/>
          </xdr:nvSpPr>
          <xdr:spPr>
            <a:xfrm>
              <a:off x="1829193" y="16547255"/>
              <a:ext cx="1458091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PE" sz="1100" b="0" i="1">
                        <a:latin typeface="Cambria Math" panose="02040503050406030204" pitchFamily="18" charset="0"/>
                      </a:rPr>
                      <m:t>𝑉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.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5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𝑐𝑜𝑒𝑓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𝑤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sSup>
                      <m:sSupPr>
                        <m:ctrlPr>
                          <a:rPr lang="es-PE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PE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𝐻</m:t>
                        </m:r>
                      </m:e>
                      <m:sup>
                        <m:r>
                          <a:rPr lang="es-PE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44" name="CuadroTexto 43"/>
            <xdr:cNvSpPr txBox="1"/>
          </xdr:nvSpPr>
          <xdr:spPr>
            <a:xfrm>
              <a:off x="1829193" y="16547255"/>
              <a:ext cx="1458091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PE" sz="1100" b="0" i="0">
                  <a:latin typeface="Cambria Math" panose="02040503050406030204" pitchFamily="18" charset="0"/>
                </a:rPr>
                <a:t>𝑉</a:t>
              </a:r>
              <a:r>
                <a:rPr lang="es-PE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=1.5∗𝑐𝑜𝑒𝑓∗𝑤∗𝐻^2</a:t>
              </a:r>
              <a:endParaRPr lang="es-PE" sz="1100"/>
            </a:p>
          </xdr:txBody>
        </xdr:sp>
      </mc:Fallback>
    </mc:AlternateContent>
    <xdr:clientData/>
  </xdr:oneCellAnchor>
  <xdr:oneCellAnchor>
    <xdr:from>
      <xdr:col>3</xdr:col>
      <xdr:colOff>179040</xdr:colOff>
      <xdr:row>91</xdr:row>
      <xdr:rowOff>27017</xdr:rowOff>
    </xdr:from>
    <xdr:ext cx="103990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5" name="CuadroTexto 44"/>
            <xdr:cNvSpPr txBox="1"/>
          </xdr:nvSpPr>
          <xdr:spPr>
            <a:xfrm>
              <a:off x="1826865" y="16743392"/>
              <a:ext cx="103990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PE" sz="1100" b="0" i="1">
                        <a:latin typeface="Cambria Math" panose="02040503050406030204" pitchFamily="18" charset="0"/>
                      </a:rPr>
                      <m:t>𝑉𝑣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𝑉𝑢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/(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𝑏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𝑑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45" name="CuadroTexto 44"/>
            <xdr:cNvSpPr txBox="1"/>
          </xdr:nvSpPr>
          <xdr:spPr>
            <a:xfrm>
              <a:off x="1826865" y="16743392"/>
              <a:ext cx="103990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PE" sz="1100" b="0" i="0">
                  <a:latin typeface="Cambria Math" panose="02040503050406030204" pitchFamily="18" charset="0"/>
                </a:rPr>
                <a:t>𝑉𝑣</a:t>
              </a:r>
              <a:r>
                <a:rPr lang="es-PE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=𝑉𝑢/(𝑏∗𝑑)</a:t>
              </a:r>
              <a:endParaRPr lang="es-PE" sz="1100"/>
            </a:p>
          </xdr:txBody>
        </xdr:sp>
      </mc:Fallback>
    </mc:AlternateContent>
    <xdr:clientData/>
  </xdr:oneCellAnchor>
  <xdr:oneCellAnchor>
    <xdr:from>
      <xdr:col>3</xdr:col>
      <xdr:colOff>213826</xdr:colOff>
      <xdr:row>92</xdr:row>
      <xdr:rowOff>19438</xdr:rowOff>
    </xdr:from>
    <xdr:ext cx="1173463" cy="20499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6" name="CuadroTexto 45"/>
            <xdr:cNvSpPr txBox="1"/>
          </xdr:nvSpPr>
          <xdr:spPr>
            <a:xfrm>
              <a:off x="2488163" y="16727066"/>
              <a:ext cx="1173463" cy="2049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PE" sz="1100" b="0" i="1">
                        <a:latin typeface="Cambria Math" panose="02040503050406030204" pitchFamily="18" charset="0"/>
                      </a:rPr>
                      <m:t>𝑉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𝜑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0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.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53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ad>
                      <m:radPr>
                        <m:degHide m:val="on"/>
                        <m:ctrlPr>
                          <a:rPr lang="es-PE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es-PE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𝑓𝑐</m:t>
                        </m:r>
                      </m:e>
                    </m:rad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46" name="CuadroTexto 45"/>
            <xdr:cNvSpPr txBox="1"/>
          </xdr:nvSpPr>
          <xdr:spPr>
            <a:xfrm>
              <a:off x="2488163" y="16727066"/>
              <a:ext cx="1173463" cy="2049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PE" sz="1100" b="0" i="0">
                  <a:latin typeface="Cambria Math" panose="02040503050406030204" pitchFamily="18" charset="0"/>
                </a:rPr>
                <a:t>𝑉</a:t>
              </a:r>
              <a:r>
                <a:rPr lang="es-PE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=𝜑∗0.53∗√𝑓𝑐</a:t>
              </a:r>
              <a:endParaRPr lang="es-PE" sz="1100"/>
            </a:p>
          </xdr:txBody>
        </xdr:sp>
      </mc:Fallback>
    </mc:AlternateContent>
    <xdr:clientData/>
  </xdr:oneCellAnchor>
  <xdr:twoCellAnchor>
    <xdr:from>
      <xdr:col>2</xdr:col>
      <xdr:colOff>77764</xdr:colOff>
      <xdr:row>115</xdr:row>
      <xdr:rowOff>2820</xdr:rowOff>
    </xdr:from>
    <xdr:to>
      <xdr:col>6</xdr:col>
      <xdr:colOff>223555</xdr:colOff>
      <xdr:row>131</xdr:row>
      <xdr:rowOff>163580</xdr:rowOff>
    </xdr:to>
    <xdr:sp macro="" textlink="">
      <xdr:nvSpPr>
        <xdr:cNvPr id="41" name="1 Cilindro"/>
        <xdr:cNvSpPr/>
      </xdr:nvSpPr>
      <xdr:spPr>
        <a:xfrm>
          <a:off x="960991" y="21728479"/>
          <a:ext cx="3193791" cy="3208760"/>
        </a:xfrm>
        <a:prstGeom prst="can">
          <a:avLst/>
        </a:prstGeom>
        <a:noFill/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252713</xdr:colOff>
      <xdr:row>119</xdr:row>
      <xdr:rowOff>125090</xdr:rowOff>
    </xdr:from>
    <xdr:to>
      <xdr:col>5</xdr:col>
      <xdr:colOff>738683</xdr:colOff>
      <xdr:row>131</xdr:row>
      <xdr:rowOff>36838</xdr:rowOff>
    </xdr:to>
    <xdr:sp macro="" textlink="">
      <xdr:nvSpPr>
        <xdr:cNvPr id="43" name="2 Cilindro"/>
        <xdr:cNvSpPr/>
      </xdr:nvSpPr>
      <xdr:spPr>
        <a:xfrm>
          <a:off x="1135940" y="22612749"/>
          <a:ext cx="2771970" cy="2197748"/>
        </a:xfrm>
        <a:prstGeom prst="can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272152</xdr:colOff>
      <xdr:row>115</xdr:row>
      <xdr:rowOff>172636</xdr:rowOff>
    </xdr:from>
    <xdr:to>
      <xdr:col>5</xdr:col>
      <xdr:colOff>748402</xdr:colOff>
      <xdr:row>130</xdr:row>
      <xdr:rowOff>163385</xdr:rowOff>
    </xdr:to>
    <xdr:sp macro="" textlink="">
      <xdr:nvSpPr>
        <xdr:cNvPr id="56" name="3 Cilindro"/>
        <xdr:cNvSpPr/>
      </xdr:nvSpPr>
      <xdr:spPr>
        <a:xfrm>
          <a:off x="1155379" y="21898295"/>
          <a:ext cx="2762250" cy="2848249"/>
        </a:xfrm>
        <a:prstGeom prst="can">
          <a:avLst>
            <a:gd name="adj" fmla="val 14799"/>
          </a:avLst>
        </a:prstGeom>
        <a:noFill/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505411</xdr:colOff>
      <xdr:row>118</xdr:row>
      <xdr:rowOff>1177</xdr:rowOff>
    </xdr:from>
    <xdr:to>
      <xdr:col>2</xdr:col>
      <xdr:colOff>505411</xdr:colOff>
      <xdr:row>130</xdr:row>
      <xdr:rowOff>136640</xdr:rowOff>
    </xdr:to>
    <xdr:cxnSp macro="">
      <xdr:nvCxnSpPr>
        <xdr:cNvPr id="19" name="Conector recto 18"/>
        <xdr:cNvCxnSpPr/>
      </xdr:nvCxnSpPr>
      <xdr:spPr>
        <a:xfrm>
          <a:off x="1388638" y="22298336"/>
          <a:ext cx="0" cy="2421463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52098</xdr:colOff>
      <xdr:row>118</xdr:row>
      <xdr:rowOff>60787</xdr:rowOff>
    </xdr:from>
    <xdr:to>
      <xdr:col>3</xdr:col>
      <xdr:colOff>52098</xdr:colOff>
      <xdr:row>131</xdr:row>
      <xdr:rowOff>55438</xdr:rowOff>
    </xdr:to>
    <xdr:cxnSp macro="">
      <xdr:nvCxnSpPr>
        <xdr:cNvPr id="60" name="Conector recto 59"/>
        <xdr:cNvCxnSpPr/>
      </xdr:nvCxnSpPr>
      <xdr:spPr>
        <a:xfrm>
          <a:off x="1697325" y="22357946"/>
          <a:ext cx="0" cy="2471151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356898</xdr:colOff>
      <xdr:row>118</xdr:row>
      <xdr:rowOff>74018</xdr:rowOff>
    </xdr:from>
    <xdr:to>
      <xdr:col>3</xdr:col>
      <xdr:colOff>356898</xdr:colOff>
      <xdr:row>131</xdr:row>
      <xdr:rowOff>68669</xdr:rowOff>
    </xdr:to>
    <xdr:cxnSp macro="">
      <xdr:nvCxnSpPr>
        <xdr:cNvPr id="62" name="Conector recto 61"/>
        <xdr:cNvCxnSpPr/>
      </xdr:nvCxnSpPr>
      <xdr:spPr>
        <a:xfrm>
          <a:off x="2002125" y="22371177"/>
          <a:ext cx="0" cy="2471151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648869</xdr:colOff>
      <xdr:row>118</xdr:row>
      <xdr:rowOff>84133</xdr:rowOff>
    </xdr:from>
    <xdr:to>
      <xdr:col>4</xdr:col>
      <xdr:colOff>648869</xdr:colOff>
      <xdr:row>131</xdr:row>
      <xdr:rowOff>78784</xdr:rowOff>
    </xdr:to>
    <xdr:cxnSp macro="">
      <xdr:nvCxnSpPr>
        <xdr:cNvPr id="65" name="Conector recto 64"/>
        <xdr:cNvCxnSpPr/>
      </xdr:nvCxnSpPr>
      <xdr:spPr>
        <a:xfrm>
          <a:off x="3056096" y="22381292"/>
          <a:ext cx="0" cy="2471151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195557</xdr:colOff>
      <xdr:row>118</xdr:row>
      <xdr:rowOff>47717</xdr:rowOff>
    </xdr:from>
    <xdr:to>
      <xdr:col>5</xdr:col>
      <xdr:colOff>195557</xdr:colOff>
      <xdr:row>131</xdr:row>
      <xdr:rowOff>42368</xdr:rowOff>
    </xdr:to>
    <xdr:cxnSp macro="">
      <xdr:nvCxnSpPr>
        <xdr:cNvPr id="67" name="Conector recto 66"/>
        <xdr:cNvCxnSpPr/>
      </xdr:nvCxnSpPr>
      <xdr:spPr>
        <a:xfrm>
          <a:off x="3364784" y="22344876"/>
          <a:ext cx="0" cy="2471151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500357</xdr:colOff>
      <xdr:row>117</xdr:row>
      <xdr:rowOff>178634</xdr:rowOff>
    </xdr:from>
    <xdr:to>
      <xdr:col>5</xdr:col>
      <xdr:colOff>500357</xdr:colOff>
      <xdr:row>130</xdr:row>
      <xdr:rowOff>173284</xdr:rowOff>
    </xdr:to>
    <xdr:cxnSp macro="">
      <xdr:nvCxnSpPr>
        <xdr:cNvPr id="69" name="Conector recto 68"/>
        <xdr:cNvCxnSpPr/>
      </xdr:nvCxnSpPr>
      <xdr:spPr>
        <a:xfrm>
          <a:off x="3669584" y="22285293"/>
          <a:ext cx="0" cy="247115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66483</xdr:colOff>
      <xdr:row>117</xdr:row>
      <xdr:rowOff>36352</xdr:rowOff>
    </xdr:from>
    <xdr:to>
      <xdr:col>6</xdr:col>
      <xdr:colOff>66483</xdr:colOff>
      <xdr:row>130</xdr:row>
      <xdr:rowOff>31002</xdr:rowOff>
    </xdr:to>
    <xdr:cxnSp macro="">
      <xdr:nvCxnSpPr>
        <xdr:cNvPr id="71" name="Conector recto 70"/>
        <xdr:cNvCxnSpPr/>
      </xdr:nvCxnSpPr>
      <xdr:spPr>
        <a:xfrm>
          <a:off x="3997710" y="22143011"/>
          <a:ext cx="0" cy="247115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186630</xdr:colOff>
      <xdr:row>117</xdr:row>
      <xdr:rowOff>20425</xdr:rowOff>
    </xdr:from>
    <xdr:to>
      <xdr:col>2</xdr:col>
      <xdr:colOff>186630</xdr:colOff>
      <xdr:row>130</xdr:row>
      <xdr:rowOff>15075</xdr:rowOff>
    </xdr:to>
    <xdr:cxnSp macro="">
      <xdr:nvCxnSpPr>
        <xdr:cNvPr id="73" name="Conector recto 72"/>
        <xdr:cNvCxnSpPr/>
      </xdr:nvCxnSpPr>
      <xdr:spPr>
        <a:xfrm>
          <a:off x="1069857" y="22127084"/>
          <a:ext cx="0" cy="247115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171844</xdr:colOff>
      <xdr:row>118</xdr:row>
      <xdr:rowOff>102705</xdr:rowOff>
    </xdr:from>
    <xdr:to>
      <xdr:col>6</xdr:col>
      <xdr:colOff>113527</xdr:colOff>
      <xdr:row>119</xdr:row>
      <xdr:rowOff>180485</xdr:rowOff>
    </xdr:to>
    <xdr:sp macro="" textlink="">
      <xdr:nvSpPr>
        <xdr:cNvPr id="75" name="Forma libre 74"/>
        <xdr:cNvSpPr/>
      </xdr:nvSpPr>
      <xdr:spPr>
        <a:xfrm>
          <a:off x="1055071" y="22399864"/>
          <a:ext cx="2989683" cy="268280"/>
        </a:xfrm>
        <a:custGeom>
          <a:avLst/>
          <a:gdLst>
            <a:gd name="connsiteX0" fmla="*/ 0 w 2974132"/>
            <a:gd name="connsiteY0" fmla="*/ 9743 h 272167"/>
            <a:gd name="connsiteX1" fmla="*/ 48597 w 2974132"/>
            <a:gd name="connsiteY1" fmla="*/ 19463 h 272167"/>
            <a:gd name="connsiteX2" fmla="*/ 106913 w 2974132"/>
            <a:gd name="connsiteY2" fmla="*/ 58340 h 272167"/>
            <a:gd name="connsiteX3" fmla="*/ 242984 w 2974132"/>
            <a:gd name="connsiteY3" fmla="*/ 116656 h 272167"/>
            <a:gd name="connsiteX4" fmla="*/ 330459 w 2974132"/>
            <a:gd name="connsiteY4" fmla="*/ 155534 h 272167"/>
            <a:gd name="connsiteX5" fmla="*/ 359617 w 2974132"/>
            <a:gd name="connsiteY5" fmla="*/ 165253 h 272167"/>
            <a:gd name="connsiteX6" fmla="*/ 388775 w 2974132"/>
            <a:gd name="connsiteY6" fmla="*/ 174973 h 272167"/>
            <a:gd name="connsiteX7" fmla="*/ 563724 w 2974132"/>
            <a:gd name="connsiteY7" fmla="*/ 184692 h 272167"/>
            <a:gd name="connsiteX8" fmla="*/ 660918 w 2974132"/>
            <a:gd name="connsiteY8" fmla="*/ 204131 h 272167"/>
            <a:gd name="connsiteX9" fmla="*/ 758112 w 2974132"/>
            <a:gd name="connsiteY9" fmla="*/ 223570 h 272167"/>
            <a:gd name="connsiteX10" fmla="*/ 787270 w 2974132"/>
            <a:gd name="connsiteY10" fmla="*/ 233289 h 272167"/>
            <a:gd name="connsiteX11" fmla="*/ 874745 w 2974132"/>
            <a:gd name="connsiteY11" fmla="*/ 243008 h 272167"/>
            <a:gd name="connsiteX12" fmla="*/ 903903 w 2974132"/>
            <a:gd name="connsiteY12" fmla="*/ 252728 h 272167"/>
            <a:gd name="connsiteX13" fmla="*/ 1156607 w 2974132"/>
            <a:gd name="connsiteY13" fmla="*/ 272167 h 272167"/>
            <a:gd name="connsiteX14" fmla="*/ 1574540 w 2974132"/>
            <a:gd name="connsiteY14" fmla="*/ 262447 h 272167"/>
            <a:gd name="connsiteX15" fmla="*/ 1691173 w 2974132"/>
            <a:gd name="connsiteY15" fmla="*/ 252728 h 272167"/>
            <a:gd name="connsiteX16" fmla="*/ 1836964 w 2974132"/>
            <a:gd name="connsiteY16" fmla="*/ 243008 h 272167"/>
            <a:gd name="connsiteX17" fmla="*/ 2322933 w 2974132"/>
            <a:gd name="connsiteY17" fmla="*/ 223570 h 272167"/>
            <a:gd name="connsiteX18" fmla="*/ 2400688 w 2974132"/>
            <a:gd name="connsiteY18" fmla="*/ 204131 h 272167"/>
            <a:gd name="connsiteX19" fmla="*/ 2459005 w 2974132"/>
            <a:gd name="connsiteY19" fmla="*/ 194411 h 272167"/>
            <a:gd name="connsiteX20" fmla="*/ 2517321 w 2974132"/>
            <a:gd name="connsiteY20" fmla="*/ 174973 h 272167"/>
            <a:gd name="connsiteX21" fmla="*/ 2663112 w 2974132"/>
            <a:gd name="connsiteY21" fmla="*/ 126376 h 272167"/>
            <a:gd name="connsiteX22" fmla="*/ 2721428 w 2974132"/>
            <a:gd name="connsiteY22" fmla="*/ 106937 h 272167"/>
            <a:gd name="connsiteX23" fmla="*/ 2779745 w 2974132"/>
            <a:gd name="connsiteY23" fmla="*/ 97218 h 272167"/>
            <a:gd name="connsiteX24" fmla="*/ 2808903 w 2974132"/>
            <a:gd name="connsiteY24" fmla="*/ 87498 h 272167"/>
            <a:gd name="connsiteX25" fmla="*/ 2867219 w 2974132"/>
            <a:gd name="connsiteY25" fmla="*/ 48621 h 272167"/>
            <a:gd name="connsiteX26" fmla="*/ 2925535 w 2974132"/>
            <a:gd name="connsiteY26" fmla="*/ 29182 h 272167"/>
            <a:gd name="connsiteX27" fmla="*/ 2974132 w 2974132"/>
            <a:gd name="connsiteY27" fmla="*/ 24 h 27216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</a:cxnLst>
          <a:rect l="l" t="t" r="r" b="b"/>
          <a:pathLst>
            <a:path w="2974132" h="272167">
              <a:moveTo>
                <a:pt x="0" y="9743"/>
              </a:moveTo>
              <a:cubicBezTo>
                <a:pt x="16199" y="12983"/>
                <a:pt x="33558" y="12627"/>
                <a:pt x="48597" y="19463"/>
              </a:cubicBezTo>
              <a:cubicBezTo>
                <a:pt x="69865" y="29130"/>
                <a:pt x="86551" y="46886"/>
                <a:pt x="106913" y="58340"/>
              </a:cubicBezTo>
              <a:cubicBezTo>
                <a:pt x="194227" y="107454"/>
                <a:pt x="177016" y="100164"/>
                <a:pt x="242984" y="116656"/>
              </a:cubicBezTo>
              <a:cubicBezTo>
                <a:pt x="289191" y="147461"/>
                <a:pt x="261061" y="132402"/>
                <a:pt x="330459" y="155534"/>
              </a:cubicBezTo>
              <a:lnTo>
                <a:pt x="359617" y="165253"/>
              </a:lnTo>
              <a:cubicBezTo>
                <a:pt x="369336" y="168493"/>
                <a:pt x="378546" y="174405"/>
                <a:pt x="388775" y="174973"/>
              </a:cubicBezTo>
              <a:lnTo>
                <a:pt x="563724" y="184692"/>
              </a:lnTo>
              <a:cubicBezTo>
                <a:pt x="622107" y="204152"/>
                <a:pt x="565988" y="187378"/>
                <a:pt x="660918" y="204131"/>
              </a:cubicBezTo>
              <a:cubicBezTo>
                <a:pt x="693455" y="209873"/>
                <a:pt x="726768" y="213122"/>
                <a:pt x="758112" y="223570"/>
              </a:cubicBezTo>
              <a:cubicBezTo>
                <a:pt x="767831" y="226810"/>
                <a:pt x="777164" y="231605"/>
                <a:pt x="787270" y="233289"/>
              </a:cubicBezTo>
              <a:cubicBezTo>
                <a:pt x="816209" y="238112"/>
                <a:pt x="845587" y="239768"/>
                <a:pt x="874745" y="243008"/>
              </a:cubicBezTo>
              <a:cubicBezTo>
                <a:pt x="884464" y="246248"/>
                <a:pt x="893857" y="250719"/>
                <a:pt x="903903" y="252728"/>
              </a:cubicBezTo>
              <a:cubicBezTo>
                <a:pt x="982911" y="268530"/>
                <a:pt x="1083732" y="268331"/>
                <a:pt x="1156607" y="272167"/>
              </a:cubicBezTo>
              <a:lnTo>
                <a:pt x="1574540" y="262447"/>
              </a:lnTo>
              <a:cubicBezTo>
                <a:pt x="1613527" y="261029"/>
                <a:pt x="1652267" y="255610"/>
                <a:pt x="1691173" y="252728"/>
              </a:cubicBezTo>
              <a:lnTo>
                <a:pt x="1836964" y="243008"/>
              </a:lnTo>
              <a:cubicBezTo>
                <a:pt x="2014361" y="183878"/>
                <a:pt x="1800141" y="252086"/>
                <a:pt x="2322933" y="223570"/>
              </a:cubicBezTo>
              <a:cubicBezTo>
                <a:pt x="2349609" y="222115"/>
                <a:pt x="2374336" y="208523"/>
                <a:pt x="2400688" y="204131"/>
              </a:cubicBezTo>
              <a:cubicBezTo>
                <a:pt x="2420127" y="200891"/>
                <a:pt x="2439886" y="199191"/>
                <a:pt x="2459005" y="194411"/>
              </a:cubicBezTo>
              <a:cubicBezTo>
                <a:pt x="2478883" y="189441"/>
                <a:pt x="2497882" y="181453"/>
                <a:pt x="2517321" y="174973"/>
              </a:cubicBezTo>
              <a:lnTo>
                <a:pt x="2663112" y="126376"/>
              </a:lnTo>
              <a:cubicBezTo>
                <a:pt x="2663119" y="126374"/>
                <a:pt x="2721420" y="106938"/>
                <a:pt x="2721428" y="106937"/>
              </a:cubicBezTo>
              <a:lnTo>
                <a:pt x="2779745" y="97218"/>
              </a:lnTo>
              <a:cubicBezTo>
                <a:pt x="2789464" y="93978"/>
                <a:pt x="2799947" y="92474"/>
                <a:pt x="2808903" y="87498"/>
              </a:cubicBezTo>
              <a:cubicBezTo>
                <a:pt x="2829325" y="76152"/>
                <a:pt x="2845056" y="56009"/>
                <a:pt x="2867219" y="48621"/>
              </a:cubicBezTo>
              <a:lnTo>
                <a:pt x="2925535" y="29182"/>
              </a:lnTo>
              <a:cubicBezTo>
                <a:pt x="2967005" y="-1920"/>
                <a:pt x="2948214" y="24"/>
                <a:pt x="2974132" y="24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2</xdr:col>
      <xdr:colOff>175355</xdr:colOff>
      <xdr:row>120</xdr:row>
      <xdr:rowOff>135358</xdr:rowOff>
    </xdr:from>
    <xdr:to>
      <xdr:col>6</xdr:col>
      <xdr:colOff>117038</xdr:colOff>
      <xdr:row>122</xdr:row>
      <xdr:rowOff>18749</xdr:rowOff>
    </xdr:to>
    <xdr:sp macro="" textlink="">
      <xdr:nvSpPr>
        <xdr:cNvPr id="77" name="Forma libre 76"/>
        <xdr:cNvSpPr/>
      </xdr:nvSpPr>
      <xdr:spPr>
        <a:xfrm>
          <a:off x="1058582" y="22813517"/>
          <a:ext cx="2989683" cy="264391"/>
        </a:xfrm>
        <a:custGeom>
          <a:avLst/>
          <a:gdLst>
            <a:gd name="connsiteX0" fmla="*/ 0 w 2974132"/>
            <a:gd name="connsiteY0" fmla="*/ 9743 h 272167"/>
            <a:gd name="connsiteX1" fmla="*/ 48597 w 2974132"/>
            <a:gd name="connsiteY1" fmla="*/ 19463 h 272167"/>
            <a:gd name="connsiteX2" fmla="*/ 106913 w 2974132"/>
            <a:gd name="connsiteY2" fmla="*/ 58340 h 272167"/>
            <a:gd name="connsiteX3" fmla="*/ 242984 w 2974132"/>
            <a:gd name="connsiteY3" fmla="*/ 116656 h 272167"/>
            <a:gd name="connsiteX4" fmla="*/ 330459 w 2974132"/>
            <a:gd name="connsiteY4" fmla="*/ 155534 h 272167"/>
            <a:gd name="connsiteX5" fmla="*/ 359617 w 2974132"/>
            <a:gd name="connsiteY5" fmla="*/ 165253 h 272167"/>
            <a:gd name="connsiteX6" fmla="*/ 388775 w 2974132"/>
            <a:gd name="connsiteY6" fmla="*/ 174973 h 272167"/>
            <a:gd name="connsiteX7" fmla="*/ 563724 w 2974132"/>
            <a:gd name="connsiteY7" fmla="*/ 184692 h 272167"/>
            <a:gd name="connsiteX8" fmla="*/ 660918 w 2974132"/>
            <a:gd name="connsiteY8" fmla="*/ 204131 h 272167"/>
            <a:gd name="connsiteX9" fmla="*/ 758112 w 2974132"/>
            <a:gd name="connsiteY9" fmla="*/ 223570 h 272167"/>
            <a:gd name="connsiteX10" fmla="*/ 787270 w 2974132"/>
            <a:gd name="connsiteY10" fmla="*/ 233289 h 272167"/>
            <a:gd name="connsiteX11" fmla="*/ 874745 w 2974132"/>
            <a:gd name="connsiteY11" fmla="*/ 243008 h 272167"/>
            <a:gd name="connsiteX12" fmla="*/ 903903 w 2974132"/>
            <a:gd name="connsiteY12" fmla="*/ 252728 h 272167"/>
            <a:gd name="connsiteX13" fmla="*/ 1156607 w 2974132"/>
            <a:gd name="connsiteY13" fmla="*/ 272167 h 272167"/>
            <a:gd name="connsiteX14" fmla="*/ 1574540 w 2974132"/>
            <a:gd name="connsiteY14" fmla="*/ 262447 h 272167"/>
            <a:gd name="connsiteX15" fmla="*/ 1691173 w 2974132"/>
            <a:gd name="connsiteY15" fmla="*/ 252728 h 272167"/>
            <a:gd name="connsiteX16" fmla="*/ 1836964 w 2974132"/>
            <a:gd name="connsiteY16" fmla="*/ 243008 h 272167"/>
            <a:gd name="connsiteX17" fmla="*/ 2322933 w 2974132"/>
            <a:gd name="connsiteY17" fmla="*/ 223570 h 272167"/>
            <a:gd name="connsiteX18" fmla="*/ 2400688 w 2974132"/>
            <a:gd name="connsiteY18" fmla="*/ 204131 h 272167"/>
            <a:gd name="connsiteX19" fmla="*/ 2459005 w 2974132"/>
            <a:gd name="connsiteY19" fmla="*/ 194411 h 272167"/>
            <a:gd name="connsiteX20" fmla="*/ 2517321 w 2974132"/>
            <a:gd name="connsiteY20" fmla="*/ 174973 h 272167"/>
            <a:gd name="connsiteX21" fmla="*/ 2663112 w 2974132"/>
            <a:gd name="connsiteY21" fmla="*/ 126376 h 272167"/>
            <a:gd name="connsiteX22" fmla="*/ 2721428 w 2974132"/>
            <a:gd name="connsiteY22" fmla="*/ 106937 h 272167"/>
            <a:gd name="connsiteX23" fmla="*/ 2779745 w 2974132"/>
            <a:gd name="connsiteY23" fmla="*/ 97218 h 272167"/>
            <a:gd name="connsiteX24" fmla="*/ 2808903 w 2974132"/>
            <a:gd name="connsiteY24" fmla="*/ 87498 h 272167"/>
            <a:gd name="connsiteX25" fmla="*/ 2867219 w 2974132"/>
            <a:gd name="connsiteY25" fmla="*/ 48621 h 272167"/>
            <a:gd name="connsiteX26" fmla="*/ 2925535 w 2974132"/>
            <a:gd name="connsiteY26" fmla="*/ 29182 h 272167"/>
            <a:gd name="connsiteX27" fmla="*/ 2974132 w 2974132"/>
            <a:gd name="connsiteY27" fmla="*/ 24 h 27216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</a:cxnLst>
          <a:rect l="l" t="t" r="r" b="b"/>
          <a:pathLst>
            <a:path w="2974132" h="272167">
              <a:moveTo>
                <a:pt x="0" y="9743"/>
              </a:moveTo>
              <a:cubicBezTo>
                <a:pt x="16199" y="12983"/>
                <a:pt x="33558" y="12627"/>
                <a:pt x="48597" y="19463"/>
              </a:cubicBezTo>
              <a:cubicBezTo>
                <a:pt x="69865" y="29130"/>
                <a:pt x="86551" y="46886"/>
                <a:pt x="106913" y="58340"/>
              </a:cubicBezTo>
              <a:cubicBezTo>
                <a:pt x="194227" y="107454"/>
                <a:pt x="177016" y="100164"/>
                <a:pt x="242984" y="116656"/>
              </a:cubicBezTo>
              <a:cubicBezTo>
                <a:pt x="289191" y="147461"/>
                <a:pt x="261061" y="132402"/>
                <a:pt x="330459" y="155534"/>
              </a:cubicBezTo>
              <a:lnTo>
                <a:pt x="359617" y="165253"/>
              </a:lnTo>
              <a:cubicBezTo>
                <a:pt x="369336" y="168493"/>
                <a:pt x="378546" y="174405"/>
                <a:pt x="388775" y="174973"/>
              </a:cubicBezTo>
              <a:lnTo>
                <a:pt x="563724" y="184692"/>
              </a:lnTo>
              <a:cubicBezTo>
                <a:pt x="622107" y="204152"/>
                <a:pt x="565988" y="187378"/>
                <a:pt x="660918" y="204131"/>
              </a:cubicBezTo>
              <a:cubicBezTo>
                <a:pt x="693455" y="209873"/>
                <a:pt x="726768" y="213122"/>
                <a:pt x="758112" y="223570"/>
              </a:cubicBezTo>
              <a:cubicBezTo>
                <a:pt x="767831" y="226810"/>
                <a:pt x="777164" y="231605"/>
                <a:pt x="787270" y="233289"/>
              </a:cubicBezTo>
              <a:cubicBezTo>
                <a:pt x="816209" y="238112"/>
                <a:pt x="845587" y="239768"/>
                <a:pt x="874745" y="243008"/>
              </a:cubicBezTo>
              <a:cubicBezTo>
                <a:pt x="884464" y="246248"/>
                <a:pt x="893857" y="250719"/>
                <a:pt x="903903" y="252728"/>
              </a:cubicBezTo>
              <a:cubicBezTo>
                <a:pt x="982911" y="268530"/>
                <a:pt x="1083732" y="268331"/>
                <a:pt x="1156607" y="272167"/>
              </a:cubicBezTo>
              <a:lnTo>
                <a:pt x="1574540" y="262447"/>
              </a:lnTo>
              <a:cubicBezTo>
                <a:pt x="1613527" y="261029"/>
                <a:pt x="1652267" y="255610"/>
                <a:pt x="1691173" y="252728"/>
              </a:cubicBezTo>
              <a:lnTo>
                <a:pt x="1836964" y="243008"/>
              </a:lnTo>
              <a:cubicBezTo>
                <a:pt x="2014361" y="183878"/>
                <a:pt x="1800141" y="252086"/>
                <a:pt x="2322933" y="223570"/>
              </a:cubicBezTo>
              <a:cubicBezTo>
                <a:pt x="2349609" y="222115"/>
                <a:pt x="2374336" y="208523"/>
                <a:pt x="2400688" y="204131"/>
              </a:cubicBezTo>
              <a:cubicBezTo>
                <a:pt x="2420127" y="200891"/>
                <a:pt x="2439886" y="199191"/>
                <a:pt x="2459005" y="194411"/>
              </a:cubicBezTo>
              <a:cubicBezTo>
                <a:pt x="2478883" y="189441"/>
                <a:pt x="2497882" y="181453"/>
                <a:pt x="2517321" y="174973"/>
              </a:cubicBezTo>
              <a:lnTo>
                <a:pt x="2663112" y="126376"/>
              </a:lnTo>
              <a:cubicBezTo>
                <a:pt x="2663119" y="126374"/>
                <a:pt x="2721420" y="106938"/>
                <a:pt x="2721428" y="106937"/>
              </a:cubicBezTo>
              <a:lnTo>
                <a:pt x="2779745" y="97218"/>
              </a:lnTo>
              <a:cubicBezTo>
                <a:pt x="2789464" y="93978"/>
                <a:pt x="2799947" y="92474"/>
                <a:pt x="2808903" y="87498"/>
              </a:cubicBezTo>
              <a:cubicBezTo>
                <a:pt x="2829325" y="76152"/>
                <a:pt x="2845056" y="56009"/>
                <a:pt x="2867219" y="48621"/>
              </a:cubicBezTo>
              <a:lnTo>
                <a:pt x="2925535" y="29182"/>
              </a:lnTo>
              <a:cubicBezTo>
                <a:pt x="2967005" y="-1920"/>
                <a:pt x="2948214" y="24"/>
                <a:pt x="2974132" y="24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2</xdr:col>
      <xdr:colOff>181970</xdr:colOff>
      <xdr:row>126</xdr:row>
      <xdr:rowOff>44777</xdr:rowOff>
    </xdr:from>
    <xdr:to>
      <xdr:col>6</xdr:col>
      <xdr:colOff>123653</xdr:colOff>
      <xdr:row>127</xdr:row>
      <xdr:rowOff>122557</xdr:rowOff>
    </xdr:to>
    <xdr:sp macro="" textlink="">
      <xdr:nvSpPr>
        <xdr:cNvPr id="78" name="Forma libre 77"/>
        <xdr:cNvSpPr/>
      </xdr:nvSpPr>
      <xdr:spPr>
        <a:xfrm>
          <a:off x="1065197" y="23865936"/>
          <a:ext cx="2989683" cy="268280"/>
        </a:xfrm>
        <a:custGeom>
          <a:avLst/>
          <a:gdLst>
            <a:gd name="connsiteX0" fmla="*/ 0 w 2974132"/>
            <a:gd name="connsiteY0" fmla="*/ 9743 h 272167"/>
            <a:gd name="connsiteX1" fmla="*/ 48597 w 2974132"/>
            <a:gd name="connsiteY1" fmla="*/ 19463 h 272167"/>
            <a:gd name="connsiteX2" fmla="*/ 106913 w 2974132"/>
            <a:gd name="connsiteY2" fmla="*/ 58340 h 272167"/>
            <a:gd name="connsiteX3" fmla="*/ 242984 w 2974132"/>
            <a:gd name="connsiteY3" fmla="*/ 116656 h 272167"/>
            <a:gd name="connsiteX4" fmla="*/ 330459 w 2974132"/>
            <a:gd name="connsiteY4" fmla="*/ 155534 h 272167"/>
            <a:gd name="connsiteX5" fmla="*/ 359617 w 2974132"/>
            <a:gd name="connsiteY5" fmla="*/ 165253 h 272167"/>
            <a:gd name="connsiteX6" fmla="*/ 388775 w 2974132"/>
            <a:gd name="connsiteY6" fmla="*/ 174973 h 272167"/>
            <a:gd name="connsiteX7" fmla="*/ 563724 w 2974132"/>
            <a:gd name="connsiteY7" fmla="*/ 184692 h 272167"/>
            <a:gd name="connsiteX8" fmla="*/ 660918 w 2974132"/>
            <a:gd name="connsiteY8" fmla="*/ 204131 h 272167"/>
            <a:gd name="connsiteX9" fmla="*/ 758112 w 2974132"/>
            <a:gd name="connsiteY9" fmla="*/ 223570 h 272167"/>
            <a:gd name="connsiteX10" fmla="*/ 787270 w 2974132"/>
            <a:gd name="connsiteY10" fmla="*/ 233289 h 272167"/>
            <a:gd name="connsiteX11" fmla="*/ 874745 w 2974132"/>
            <a:gd name="connsiteY11" fmla="*/ 243008 h 272167"/>
            <a:gd name="connsiteX12" fmla="*/ 903903 w 2974132"/>
            <a:gd name="connsiteY12" fmla="*/ 252728 h 272167"/>
            <a:gd name="connsiteX13" fmla="*/ 1156607 w 2974132"/>
            <a:gd name="connsiteY13" fmla="*/ 272167 h 272167"/>
            <a:gd name="connsiteX14" fmla="*/ 1574540 w 2974132"/>
            <a:gd name="connsiteY14" fmla="*/ 262447 h 272167"/>
            <a:gd name="connsiteX15" fmla="*/ 1691173 w 2974132"/>
            <a:gd name="connsiteY15" fmla="*/ 252728 h 272167"/>
            <a:gd name="connsiteX16" fmla="*/ 1836964 w 2974132"/>
            <a:gd name="connsiteY16" fmla="*/ 243008 h 272167"/>
            <a:gd name="connsiteX17" fmla="*/ 2322933 w 2974132"/>
            <a:gd name="connsiteY17" fmla="*/ 223570 h 272167"/>
            <a:gd name="connsiteX18" fmla="*/ 2400688 w 2974132"/>
            <a:gd name="connsiteY18" fmla="*/ 204131 h 272167"/>
            <a:gd name="connsiteX19" fmla="*/ 2459005 w 2974132"/>
            <a:gd name="connsiteY19" fmla="*/ 194411 h 272167"/>
            <a:gd name="connsiteX20" fmla="*/ 2517321 w 2974132"/>
            <a:gd name="connsiteY20" fmla="*/ 174973 h 272167"/>
            <a:gd name="connsiteX21" fmla="*/ 2663112 w 2974132"/>
            <a:gd name="connsiteY21" fmla="*/ 126376 h 272167"/>
            <a:gd name="connsiteX22" fmla="*/ 2721428 w 2974132"/>
            <a:gd name="connsiteY22" fmla="*/ 106937 h 272167"/>
            <a:gd name="connsiteX23" fmla="*/ 2779745 w 2974132"/>
            <a:gd name="connsiteY23" fmla="*/ 97218 h 272167"/>
            <a:gd name="connsiteX24" fmla="*/ 2808903 w 2974132"/>
            <a:gd name="connsiteY24" fmla="*/ 87498 h 272167"/>
            <a:gd name="connsiteX25" fmla="*/ 2867219 w 2974132"/>
            <a:gd name="connsiteY25" fmla="*/ 48621 h 272167"/>
            <a:gd name="connsiteX26" fmla="*/ 2925535 w 2974132"/>
            <a:gd name="connsiteY26" fmla="*/ 29182 h 272167"/>
            <a:gd name="connsiteX27" fmla="*/ 2974132 w 2974132"/>
            <a:gd name="connsiteY27" fmla="*/ 24 h 27216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</a:cxnLst>
          <a:rect l="l" t="t" r="r" b="b"/>
          <a:pathLst>
            <a:path w="2974132" h="272167">
              <a:moveTo>
                <a:pt x="0" y="9743"/>
              </a:moveTo>
              <a:cubicBezTo>
                <a:pt x="16199" y="12983"/>
                <a:pt x="33558" y="12627"/>
                <a:pt x="48597" y="19463"/>
              </a:cubicBezTo>
              <a:cubicBezTo>
                <a:pt x="69865" y="29130"/>
                <a:pt x="86551" y="46886"/>
                <a:pt x="106913" y="58340"/>
              </a:cubicBezTo>
              <a:cubicBezTo>
                <a:pt x="194227" y="107454"/>
                <a:pt x="177016" y="100164"/>
                <a:pt x="242984" y="116656"/>
              </a:cubicBezTo>
              <a:cubicBezTo>
                <a:pt x="289191" y="147461"/>
                <a:pt x="261061" y="132402"/>
                <a:pt x="330459" y="155534"/>
              </a:cubicBezTo>
              <a:lnTo>
                <a:pt x="359617" y="165253"/>
              </a:lnTo>
              <a:cubicBezTo>
                <a:pt x="369336" y="168493"/>
                <a:pt x="378546" y="174405"/>
                <a:pt x="388775" y="174973"/>
              </a:cubicBezTo>
              <a:lnTo>
                <a:pt x="563724" y="184692"/>
              </a:lnTo>
              <a:cubicBezTo>
                <a:pt x="622107" y="204152"/>
                <a:pt x="565988" y="187378"/>
                <a:pt x="660918" y="204131"/>
              </a:cubicBezTo>
              <a:cubicBezTo>
                <a:pt x="693455" y="209873"/>
                <a:pt x="726768" y="213122"/>
                <a:pt x="758112" y="223570"/>
              </a:cubicBezTo>
              <a:cubicBezTo>
                <a:pt x="767831" y="226810"/>
                <a:pt x="777164" y="231605"/>
                <a:pt x="787270" y="233289"/>
              </a:cubicBezTo>
              <a:cubicBezTo>
                <a:pt x="816209" y="238112"/>
                <a:pt x="845587" y="239768"/>
                <a:pt x="874745" y="243008"/>
              </a:cubicBezTo>
              <a:cubicBezTo>
                <a:pt x="884464" y="246248"/>
                <a:pt x="893857" y="250719"/>
                <a:pt x="903903" y="252728"/>
              </a:cubicBezTo>
              <a:cubicBezTo>
                <a:pt x="982911" y="268530"/>
                <a:pt x="1083732" y="268331"/>
                <a:pt x="1156607" y="272167"/>
              </a:cubicBezTo>
              <a:lnTo>
                <a:pt x="1574540" y="262447"/>
              </a:lnTo>
              <a:cubicBezTo>
                <a:pt x="1613527" y="261029"/>
                <a:pt x="1652267" y="255610"/>
                <a:pt x="1691173" y="252728"/>
              </a:cubicBezTo>
              <a:lnTo>
                <a:pt x="1836964" y="243008"/>
              </a:lnTo>
              <a:cubicBezTo>
                <a:pt x="2014361" y="183878"/>
                <a:pt x="1800141" y="252086"/>
                <a:pt x="2322933" y="223570"/>
              </a:cubicBezTo>
              <a:cubicBezTo>
                <a:pt x="2349609" y="222115"/>
                <a:pt x="2374336" y="208523"/>
                <a:pt x="2400688" y="204131"/>
              </a:cubicBezTo>
              <a:cubicBezTo>
                <a:pt x="2420127" y="200891"/>
                <a:pt x="2439886" y="199191"/>
                <a:pt x="2459005" y="194411"/>
              </a:cubicBezTo>
              <a:cubicBezTo>
                <a:pt x="2478883" y="189441"/>
                <a:pt x="2497882" y="181453"/>
                <a:pt x="2517321" y="174973"/>
              </a:cubicBezTo>
              <a:lnTo>
                <a:pt x="2663112" y="126376"/>
              </a:lnTo>
              <a:cubicBezTo>
                <a:pt x="2663119" y="126374"/>
                <a:pt x="2721420" y="106938"/>
                <a:pt x="2721428" y="106937"/>
              </a:cubicBezTo>
              <a:lnTo>
                <a:pt x="2779745" y="97218"/>
              </a:lnTo>
              <a:cubicBezTo>
                <a:pt x="2789464" y="93978"/>
                <a:pt x="2799947" y="92474"/>
                <a:pt x="2808903" y="87498"/>
              </a:cubicBezTo>
              <a:cubicBezTo>
                <a:pt x="2829325" y="76152"/>
                <a:pt x="2845056" y="56009"/>
                <a:pt x="2867219" y="48621"/>
              </a:cubicBezTo>
              <a:lnTo>
                <a:pt x="2925535" y="29182"/>
              </a:lnTo>
              <a:cubicBezTo>
                <a:pt x="2967005" y="-1920"/>
                <a:pt x="2948214" y="24"/>
                <a:pt x="2974132" y="24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2</xdr:col>
      <xdr:colOff>198304</xdr:colOff>
      <xdr:row>127</xdr:row>
      <xdr:rowOff>31946</xdr:rowOff>
    </xdr:from>
    <xdr:to>
      <xdr:col>6</xdr:col>
      <xdr:colOff>139987</xdr:colOff>
      <xdr:row>128</xdr:row>
      <xdr:rowOff>109725</xdr:rowOff>
    </xdr:to>
    <xdr:sp macro="" textlink="">
      <xdr:nvSpPr>
        <xdr:cNvPr id="79" name="Forma libre 78"/>
        <xdr:cNvSpPr/>
      </xdr:nvSpPr>
      <xdr:spPr>
        <a:xfrm>
          <a:off x="1081531" y="24043605"/>
          <a:ext cx="2989683" cy="268279"/>
        </a:xfrm>
        <a:custGeom>
          <a:avLst/>
          <a:gdLst>
            <a:gd name="connsiteX0" fmla="*/ 0 w 2974132"/>
            <a:gd name="connsiteY0" fmla="*/ 9743 h 272167"/>
            <a:gd name="connsiteX1" fmla="*/ 48597 w 2974132"/>
            <a:gd name="connsiteY1" fmla="*/ 19463 h 272167"/>
            <a:gd name="connsiteX2" fmla="*/ 106913 w 2974132"/>
            <a:gd name="connsiteY2" fmla="*/ 58340 h 272167"/>
            <a:gd name="connsiteX3" fmla="*/ 242984 w 2974132"/>
            <a:gd name="connsiteY3" fmla="*/ 116656 h 272167"/>
            <a:gd name="connsiteX4" fmla="*/ 330459 w 2974132"/>
            <a:gd name="connsiteY4" fmla="*/ 155534 h 272167"/>
            <a:gd name="connsiteX5" fmla="*/ 359617 w 2974132"/>
            <a:gd name="connsiteY5" fmla="*/ 165253 h 272167"/>
            <a:gd name="connsiteX6" fmla="*/ 388775 w 2974132"/>
            <a:gd name="connsiteY6" fmla="*/ 174973 h 272167"/>
            <a:gd name="connsiteX7" fmla="*/ 563724 w 2974132"/>
            <a:gd name="connsiteY7" fmla="*/ 184692 h 272167"/>
            <a:gd name="connsiteX8" fmla="*/ 660918 w 2974132"/>
            <a:gd name="connsiteY8" fmla="*/ 204131 h 272167"/>
            <a:gd name="connsiteX9" fmla="*/ 758112 w 2974132"/>
            <a:gd name="connsiteY9" fmla="*/ 223570 h 272167"/>
            <a:gd name="connsiteX10" fmla="*/ 787270 w 2974132"/>
            <a:gd name="connsiteY10" fmla="*/ 233289 h 272167"/>
            <a:gd name="connsiteX11" fmla="*/ 874745 w 2974132"/>
            <a:gd name="connsiteY11" fmla="*/ 243008 h 272167"/>
            <a:gd name="connsiteX12" fmla="*/ 903903 w 2974132"/>
            <a:gd name="connsiteY12" fmla="*/ 252728 h 272167"/>
            <a:gd name="connsiteX13" fmla="*/ 1156607 w 2974132"/>
            <a:gd name="connsiteY13" fmla="*/ 272167 h 272167"/>
            <a:gd name="connsiteX14" fmla="*/ 1574540 w 2974132"/>
            <a:gd name="connsiteY14" fmla="*/ 262447 h 272167"/>
            <a:gd name="connsiteX15" fmla="*/ 1691173 w 2974132"/>
            <a:gd name="connsiteY15" fmla="*/ 252728 h 272167"/>
            <a:gd name="connsiteX16" fmla="*/ 1836964 w 2974132"/>
            <a:gd name="connsiteY16" fmla="*/ 243008 h 272167"/>
            <a:gd name="connsiteX17" fmla="*/ 2322933 w 2974132"/>
            <a:gd name="connsiteY17" fmla="*/ 223570 h 272167"/>
            <a:gd name="connsiteX18" fmla="*/ 2400688 w 2974132"/>
            <a:gd name="connsiteY18" fmla="*/ 204131 h 272167"/>
            <a:gd name="connsiteX19" fmla="*/ 2459005 w 2974132"/>
            <a:gd name="connsiteY19" fmla="*/ 194411 h 272167"/>
            <a:gd name="connsiteX20" fmla="*/ 2517321 w 2974132"/>
            <a:gd name="connsiteY20" fmla="*/ 174973 h 272167"/>
            <a:gd name="connsiteX21" fmla="*/ 2663112 w 2974132"/>
            <a:gd name="connsiteY21" fmla="*/ 126376 h 272167"/>
            <a:gd name="connsiteX22" fmla="*/ 2721428 w 2974132"/>
            <a:gd name="connsiteY22" fmla="*/ 106937 h 272167"/>
            <a:gd name="connsiteX23" fmla="*/ 2779745 w 2974132"/>
            <a:gd name="connsiteY23" fmla="*/ 97218 h 272167"/>
            <a:gd name="connsiteX24" fmla="*/ 2808903 w 2974132"/>
            <a:gd name="connsiteY24" fmla="*/ 87498 h 272167"/>
            <a:gd name="connsiteX25" fmla="*/ 2867219 w 2974132"/>
            <a:gd name="connsiteY25" fmla="*/ 48621 h 272167"/>
            <a:gd name="connsiteX26" fmla="*/ 2925535 w 2974132"/>
            <a:gd name="connsiteY26" fmla="*/ 29182 h 272167"/>
            <a:gd name="connsiteX27" fmla="*/ 2974132 w 2974132"/>
            <a:gd name="connsiteY27" fmla="*/ 24 h 27216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</a:cxnLst>
          <a:rect l="l" t="t" r="r" b="b"/>
          <a:pathLst>
            <a:path w="2974132" h="272167">
              <a:moveTo>
                <a:pt x="0" y="9743"/>
              </a:moveTo>
              <a:cubicBezTo>
                <a:pt x="16199" y="12983"/>
                <a:pt x="33558" y="12627"/>
                <a:pt x="48597" y="19463"/>
              </a:cubicBezTo>
              <a:cubicBezTo>
                <a:pt x="69865" y="29130"/>
                <a:pt x="86551" y="46886"/>
                <a:pt x="106913" y="58340"/>
              </a:cubicBezTo>
              <a:cubicBezTo>
                <a:pt x="194227" y="107454"/>
                <a:pt x="177016" y="100164"/>
                <a:pt x="242984" y="116656"/>
              </a:cubicBezTo>
              <a:cubicBezTo>
                <a:pt x="289191" y="147461"/>
                <a:pt x="261061" y="132402"/>
                <a:pt x="330459" y="155534"/>
              </a:cubicBezTo>
              <a:lnTo>
                <a:pt x="359617" y="165253"/>
              </a:lnTo>
              <a:cubicBezTo>
                <a:pt x="369336" y="168493"/>
                <a:pt x="378546" y="174405"/>
                <a:pt x="388775" y="174973"/>
              </a:cubicBezTo>
              <a:lnTo>
                <a:pt x="563724" y="184692"/>
              </a:lnTo>
              <a:cubicBezTo>
                <a:pt x="622107" y="204152"/>
                <a:pt x="565988" y="187378"/>
                <a:pt x="660918" y="204131"/>
              </a:cubicBezTo>
              <a:cubicBezTo>
                <a:pt x="693455" y="209873"/>
                <a:pt x="726768" y="213122"/>
                <a:pt x="758112" y="223570"/>
              </a:cubicBezTo>
              <a:cubicBezTo>
                <a:pt x="767831" y="226810"/>
                <a:pt x="777164" y="231605"/>
                <a:pt x="787270" y="233289"/>
              </a:cubicBezTo>
              <a:cubicBezTo>
                <a:pt x="816209" y="238112"/>
                <a:pt x="845587" y="239768"/>
                <a:pt x="874745" y="243008"/>
              </a:cubicBezTo>
              <a:cubicBezTo>
                <a:pt x="884464" y="246248"/>
                <a:pt x="893857" y="250719"/>
                <a:pt x="903903" y="252728"/>
              </a:cubicBezTo>
              <a:cubicBezTo>
                <a:pt x="982911" y="268530"/>
                <a:pt x="1083732" y="268331"/>
                <a:pt x="1156607" y="272167"/>
              </a:cubicBezTo>
              <a:lnTo>
                <a:pt x="1574540" y="262447"/>
              </a:lnTo>
              <a:cubicBezTo>
                <a:pt x="1613527" y="261029"/>
                <a:pt x="1652267" y="255610"/>
                <a:pt x="1691173" y="252728"/>
              </a:cubicBezTo>
              <a:lnTo>
                <a:pt x="1836964" y="243008"/>
              </a:lnTo>
              <a:cubicBezTo>
                <a:pt x="2014361" y="183878"/>
                <a:pt x="1800141" y="252086"/>
                <a:pt x="2322933" y="223570"/>
              </a:cubicBezTo>
              <a:cubicBezTo>
                <a:pt x="2349609" y="222115"/>
                <a:pt x="2374336" y="208523"/>
                <a:pt x="2400688" y="204131"/>
              </a:cubicBezTo>
              <a:cubicBezTo>
                <a:pt x="2420127" y="200891"/>
                <a:pt x="2439886" y="199191"/>
                <a:pt x="2459005" y="194411"/>
              </a:cubicBezTo>
              <a:cubicBezTo>
                <a:pt x="2478883" y="189441"/>
                <a:pt x="2497882" y="181453"/>
                <a:pt x="2517321" y="174973"/>
              </a:cubicBezTo>
              <a:lnTo>
                <a:pt x="2663112" y="126376"/>
              </a:lnTo>
              <a:cubicBezTo>
                <a:pt x="2663119" y="126374"/>
                <a:pt x="2721420" y="106938"/>
                <a:pt x="2721428" y="106937"/>
              </a:cubicBezTo>
              <a:lnTo>
                <a:pt x="2779745" y="97218"/>
              </a:lnTo>
              <a:cubicBezTo>
                <a:pt x="2789464" y="93978"/>
                <a:pt x="2799947" y="92474"/>
                <a:pt x="2808903" y="87498"/>
              </a:cubicBezTo>
              <a:cubicBezTo>
                <a:pt x="2829325" y="76152"/>
                <a:pt x="2845056" y="56009"/>
                <a:pt x="2867219" y="48621"/>
              </a:cubicBezTo>
              <a:lnTo>
                <a:pt x="2925535" y="29182"/>
              </a:lnTo>
              <a:cubicBezTo>
                <a:pt x="2967005" y="-1920"/>
                <a:pt x="2948214" y="24"/>
                <a:pt x="2974132" y="24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6</xdr:col>
      <xdr:colOff>123052</xdr:colOff>
      <xdr:row>100</xdr:row>
      <xdr:rowOff>23379</xdr:rowOff>
    </xdr:from>
    <xdr:to>
      <xdr:col>7</xdr:col>
      <xdr:colOff>650298</xdr:colOff>
      <xdr:row>118</xdr:row>
      <xdr:rowOff>74154</xdr:rowOff>
    </xdr:to>
    <xdr:cxnSp macro="">
      <xdr:nvCxnSpPr>
        <xdr:cNvPr id="30" name="Conector recto de flecha 29"/>
        <xdr:cNvCxnSpPr/>
      </xdr:nvCxnSpPr>
      <xdr:spPr>
        <a:xfrm flipH="1">
          <a:off x="4056877" y="18692379"/>
          <a:ext cx="1289246" cy="3479775"/>
        </a:xfrm>
        <a:prstGeom prst="straightConnector1">
          <a:avLst/>
        </a:prstGeom>
        <a:ln w="19050"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107</xdr:row>
      <xdr:rowOff>99580</xdr:rowOff>
    </xdr:from>
    <xdr:to>
      <xdr:col>2</xdr:col>
      <xdr:colOff>311728</xdr:colOff>
      <xdr:row>117</xdr:row>
      <xdr:rowOff>57150</xdr:rowOff>
    </xdr:to>
    <xdr:cxnSp macro="">
      <xdr:nvCxnSpPr>
        <xdr:cNvPr id="82" name="Conector recto de flecha 81"/>
        <xdr:cNvCxnSpPr/>
      </xdr:nvCxnSpPr>
      <xdr:spPr>
        <a:xfrm flipH="1">
          <a:off x="1076325" y="20102080"/>
          <a:ext cx="121228" cy="1862570"/>
        </a:xfrm>
        <a:prstGeom prst="straightConnector1">
          <a:avLst/>
        </a:prstGeom>
        <a:ln w="19050"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573444</xdr:colOff>
      <xdr:row>8</xdr:row>
      <xdr:rowOff>58317</xdr:rowOff>
    </xdr:from>
    <xdr:to>
      <xdr:col>4</xdr:col>
      <xdr:colOff>573444</xdr:colOff>
      <xdr:row>20</xdr:row>
      <xdr:rowOff>184669</xdr:rowOff>
    </xdr:to>
    <xdr:cxnSp macro="">
      <xdr:nvCxnSpPr>
        <xdr:cNvPr id="12" name="Conector recto 11"/>
        <xdr:cNvCxnSpPr/>
      </xdr:nvCxnSpPr>
      <xdr:spPr>
        <a:xfrm>
          <a:off x="3605893" y="1321837"/>
          <a:ext cx="0" cy="2527041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375960</xdr:colOff>
      <xdr:row>8</xdr:row>
      <xdr:rowOff>47713</xdr:rowOff>
    </xdr:from>
    <xdr:to>
      <xdr:col>4</xdr:col>
      <xdr:colOff>375960</xdr:colOff>
      <xdr:row>21</xdr:row>
      <xdr:rowOff>189057</xdr:rowOff>
    </xdr:to>
    <xdr:cxnSp macro="">
      <xdr:nvCxnSpPr>
        <xdr:cNvPr id="74" name="Conector recto 73"/>
        <xdr:cNvCxnSpPr/>
      </xdr:nvCxnSpPr>
      <xdr:spPr>
        <a:xfrm>
          <a:off x="3408409" y="1311233"/>
          <a:ext cx="0" cy="2736421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348839</xdr:colOff>
      <xdr:row>22</xdr:row>
      <xdr:rowOff>10470</xdr:rowOff>
    </xdr:from>
    <xdr:to>
      <xdr:col>8</xdr:col>
      <xdr:colOff>535362</xdr:colOff>
      <xdr:row>22</xdr:row>
      <xdr:rowOff>10471</xdr:rowOff>
    </xdr:to>
    <xdr:cxnSp macro="">
      <xdr:nvCxnSpPr>
        <xdr:cNvPr id="85" name="Conector recto 84"/>
        <xdr:cNvCxnSpPr/>
      </xdr:nvCxnSpPr>
      <xdr:spPr>
        <a:xfrm flipH="1">
          <a:off x="3405213" y="3956541"/>
          <a:ext cx="3242896" cy="1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282237</xdr:colOff>
      <xdr:row>8</xdr:row>
      <xdr:rowOff>48999</xdr:rowOff>
    </xdr:from>
    <xdr:to>
      <xdr:col>8</xdr:col>
      <xdr:colOff>282237</xdr:colOff>
      <xdr:row>20</xdr:row>
      <xdr:rowOff>175351</xdr:rowOff>
    </xdr:to>
    <xdr:cxnSp macro="">
      <xdr:nvCxnSpPr>
        <xdr:cNvPr id="86" name="Conector recto 85"/>
        <xdr:cNvCxnSpPr/>
      </xdr:nvCxnSpPr>
      <xdr:spPr>
        <a:xfrm>
          <a:off x="6347135" y="1312519"/>
          <a:ext cx="0" cy="2527041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508920</xdr:colOff>
      <xdr:row>8</xdr:row>
      <xdr:rowOff>44609</xdr:rowOff>
    </xdr:from>
    <xdr:to>
      <xdr:col>8</xdr:col>
      <xdr:colOff>508920</xdr:colOff>
      <xdr:row>21</xdr:row>
      <xdr:rowOff>185953</xdr:rowOff>
    </xdr:to>
    <xdr:cxnSp macro="">
      <xdr:nvCxnSpPr>
        <xdr:cNvPr id="87" name="Conector recto 86"/>
        <xdr:cNvCxnSpPr/>
      </xdr:nvCxnSpPr>
      <xdr:spPr>
        <a:xfrm>
          <a:off x="6573818" y="1308129"/>
          <a:ext cx="0" cy="2736421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558583</xdr:colOff>
      <xdr:row>20</xdr:row>
      <xdr:rowOff>162871</xdr:rowOff>
    </xdr:from>
    <xdr:to>
      <xdr:col>8</xdr:col>
      <xdr:colOff>295475</xdr:colOff>
      <xdr:row>20</xdr:row>
      <xdr:rowOff>162872</xdr:rowOff>
    </xdr:to>
    <xdr:cxnSp macro="">
      <xdr:nvCxnSpPr>
        <xdr:cNvPr id="88" name="Conector recto 87"/>
        <xdr:cNvCxnSpPr/>
      </xdr:nvCxnSpPr>
      <xdr:spPr>
        <a:xfrm flipH="1">
          <a:off x="3614957" y="3732129"/>
          <a:ext cx="2793265" cy="1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269574</xdr:colOff>
      <xdr:row>8</xdr:row>
      <xdr:rowOff>53511</xdr:rowOff>
    </xdr:from>
    <xdr:to>
      <xdr:col>8</xdr:col>
      <xdr:colOff>527744</xdr:colOff>
      <xdr:row>8</xdr:row>
      <xdr:rowOff>53511</xdr:rowOff>
    </xdr:to>
    <xdr:cxnSp macro="">
      <xdr:nvCxnSpPr>
        <xdr:cNvPr id="22" name="Conector recto 21"/>
        <xdr:cNvCxnSpPr/>
      </xdr:nvCxnSpPr>
      <xdr:spPr>
        <a:xfrm>
          <a:off x="6372317" y="1296819"/>
          <a:ext cx="258170" cy="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353147</xdr:colOff>
      <xdr:row>8</xdr:row>
      <xdr:rowOff>56083</xdr:rowOff>
    </xdr:from>
    <xdr:to>
      <xdr:col>4</xdr:col>
      <xdr:colOff>593947</xdr:colOff>
      <xdr:row>8</xdr:row>
      <xdr:rowOff>56083</xdr:rowOff>
    </xdr:to>
    <xdr:cxnSp macro="">
      <xdr:nvCxnSpPr>
        <xdr:cNvPr id="89" name="Conector recto 88"/>
        <xdr:cNvCxnSpPr/>
      </xdr:nvCxnSpPr>
      <xdr:spPr>
        <a:xfrm>
          <a:off x="3404519" y="1299391"/>
          <a:ext cx="240800" cy="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575094</xdr:colOff>
      <xdr:row>12</xdr:row>
      <xdr:rowOff>1</xdr:rowOff>
    </xdr:from>
    <xdr:to>
      <xdr:col>8</xdr:col>
      <xdr:colOff>287548</xdr:colOff>
      <xdr:row>12</xdr:row>
      <xdr:rowOff>8986</xdr:rowOff>
    </xdr:to>
    <xdr:cxnSp macro="">
      <xdr:nvCxnSpPr>
        <xdr:cNvPr id="24" name="Conector recto 23"/>
        <xdr:cNvCxnSpPr/>
      </xdr:nvCxnSpPr>
      <xdr:spPr>
        <a:xfrm flipV="1">
          <a:off x="3630283" y="1994859"/>
          <a:ext cx="2767642" cy="8985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215660</xdr:colOff>
      <xdr:row>10</xdr:row>
      <xdr:rowOff>95291</xdr:rowOff>
    </xdr:from>
    <xdr:to>
      <xdr:col>6</xdr:col>
      <xdr:colOff>476250</xdr:colOff>
      <xdr:row>11</xdr:row>
      <xdr:rowOff>174279</xdr:rowOff>
    </xdr:to>
    <xdr:sp macro="" textlink="">
      <xdr:nvSpPr>
        <xdr:cNvPr id="26" name="Triángulo isósceles 25"/>
        <xdr:cNvSpPr/>
      </xdr:nvSpPr>
      <xdr:spPr>
        <a:xfrm rot="10800000">
          <a:off x="4798443" y="1712744"/>
          <a:ext cx="260590" cy="267691"/>
        </a:xfrm>
        <a:prstGeom prst="triangle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6</xdr:col>
      <xdr:colOff>62901</xdr:colOff>
      <xdr:row>12</xdr:row>
      <xdr:rowOff>71887</xdr:rowOff>
    </xdr:from>
    <xdr:to>
      <xdr:col>7</xdr:col>
      <xdr:colOff>0</xdr:colOff>
      <xdr:row>12</xdr:row>
      <xdr:rowOff>71887</xdr:rowOff>
    </xdr:to>
    <xdr:cxnSp macro="">
      <xdr:nvCxnSpPr>
        <xdr:cNvPr id="40" name="Conector recto 39"/>
        <xdr:cNvCxnSpPr/>
      </xdr:nvCxnSpPr>
      <xdr:spPr>
        <a:xfrm>
          <a:off x="4645684" y="2066745"/>
          <a:ext cx="700896" cy="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147756</xdr:colOff>
      <xdr:row>12</xdr:row>
      <xdr:rowOff>143413</xdr:rowOff>
    </xdr:from>
    <xdr:to>
      <xdr:col>6</xdr:col>
      <xdr:colOff>678218</xdr:colOff>
      <xdr:row>12</xdr:row>
      <xdr:rowOff>143413</xdr:rowOff>
    </xdr:to>
    <xdr:cxnSp macro="">
      <xdr:nvCxnSpPr>
        <xdr:cNvPr id="90" name="Conector recto 89"/>
        <xdr:cNvCxnSpPr/>
      </xdr:nvCxnSpPr>
      <xdr:spPr>
        <a:xfrm>
          <a:off x="4730539" y="2138271"/>
          <a:ext cx="530462" cy="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196821</xdr:colOff>
      <xdr:row>13</xdr:row>
      <xdr:rowOff>35222</xdr:rowOff>
    </xdr:from>
    <xdr:to>
      <xdr:col>6</xdr:col>
      <xdr:colOff>610457</xdr:colOff>
      <xdr:row>13</xdr:row>
      <xdr:rowOff>35222</xdr:rowOff>
    </xdr:to>
    <xdr:cxnSp macro="">
      <xdr:nvCxnSpPr>
        <xdr:cNvPr id="91" name="Conector recto 90"/>
        <xdr:cNvCxnSpPr/>
      </xdr:nvCxnSpPr>
      <xdr:spPr>
        <a:xfrm>
          <a:off x="4779604" y="2218783"/>
          <a:ext cx="413636" cy="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239315</xdr:colOff>
      <xdr:row>13</xdr:row>
      <xdr:rowOff>115734</xdr:rowOff>
    </xdr:from>
    <xdr:to>
      <xdr:col>6</xdr:col>
      <xdr:colOff>549268</xdr:colOff>
      <xdr:row>13</xdr:row>
      <xdr:rowOff>115734</xdr:rowOff>
    </xdr:to>
    <xdr:cxnSp macro="">
      <xdr:nvCxnSpPr>
        <xdr:cNvPr id="92" name="Conector recto 91"/>
        <xdr:cNvCxnSpPr/>
      </xdr:nvCxnSpPr>
      <xdr:spPr>
        <a:xfrm>
          <a:off x="4822098" y="2299295"/>
          <a:ext cx="309953" cy="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303877</xdr:colOff>
      <xdr:row>14</xdr:row>
      <xdr:rowOff>7543</xdr:rowOff>
    </xdr:from>
    <xdr:to>
      <xdr:col>6</xdr:col>
      <xdr:colOff>501953</xdr:colOff>
      <xdr:row>14</xdr:row>
      <xdr:rowOff>7543</xdr:rowOff>
    </xdr:to>
    <xdr:cxnSp macro="">
      <xdr:nvCxnSpPr>
        <xdr:cNvPr id="93" name="Conector recto 92"/>
        <xdr:cNvCxnSpPr/>
      </xdr:nvCxnSpPr>
      <xdr:spPr>
        <a:xfrm>
          <a:off x="4886660" y="2379807"/>
          <a:ext cx="198076" cy="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476257</xdr:colOff>
      <xdr:row>99</xdr:row>
      <xdr:rowOff>10583</xdr:rowOff>
    </xdr:from>
    <xdr:to>
      <xdr:col>3</xdr:col>
      <xdr:colOff>476257</xdr:colOff>
      <xdr:row>112</xdr:row>
      <xdr:rowOff>50012</xdr:rowOff>
    </xdr:to>
    <xdr:cxnSp macro="">
      <xdr:nvCxnSpPr>
        <xdr:cNvPr id="3" name="Conector recto 2"/>
        <xdr:cNvCxnSpPr/>
      </xdr:nvCxnSpPr>
      <xdr:spPr>
        <a:xfrm>
          <a:off x="2121484" y="18688242"/>
          <a:ext cx="0" cy="2515929"/>
        </a:xfrm>
        <a:prstGeom prst="line">
          <a:avLst/>
        </a:prstGeom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48500</xdr:colOff>
      <xdr:row>99</xdr:row>
      <xdr:rowOff>15780</xdr:rowOff>
    </xdr:from>
    <xdr:to>
      <xdr:col>4</xdr:col>
      <xdr:colOff>48500</xdr:colOff>
      <xdr:row>112</xdr:row>
      <xdr:rowOff>55209</xdr:rowOff>
    </xdr:to>
    <xdr:cxnSp macro="">
      <xdr:nvCxnSpPr>
        <xdr:cNvPr id="94" name="Conector recto 93"/>
        <xdr:cNvCxnSpPr/>
      </xdr:nvCxnSpPr>
      <xdr:spPr>
        <a:xfrm>
          <a:off x="2455727" y="18693439"/>
          <a:ext cx="0" cy="2515929"/>
        </a:xfrm>
        <a:prstGeom prst="line">
          <a:avLst/>
        </a:prstGeom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465578</xdr:colOff>
      <xdr:row>99</xdr:row>
      <xdr:rowOff>17318</xdr:rowOff>
    </xdr:from>
    <xdr:to>
      <xdr:col>4</xdr:col>
      <xdr:colOff>53980</xdr:colOff>
      <xdr:row>99</xdr:row>
      <xdr:rowOff>17318</xdr:rowOff>
    </xdr:to>
    <xdr:cxnSp macro="">
      <xdr:nvCxnSpPr>
        <xdr:cNvPr id="10" name="Conector recto 9"/>
        <xdr:cNvCxnSpPr/>
      </xdr:nvCxnSpPr>
      <xdr:spPr>
        <a:xfrm flipH="1">
          <a:off x="2115135" y="18309648"/>
          <a:ext cx="350402" cy="0"/>
        </a:xfrm>
        <a:prstGeom prst="line">
          <a:avLst/>
        </a:prstGeom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152412</xdr:colOff>
      <xdr:row>112</xdr:row>
      <xdr:rowOff>48489</xdr:rowOff>
    </xdr:from>
    <xdr:to>
      <xdr:col>3</xdr:col>
      <xdr:colOff>472799</xdr:colOff>
      <xdr:row>112</xdr:row>
      <xdr:rowOff>48489</xdr:rowOff>
    </xdr:to>
    <xdr:cxnSp macro="">
      <xdr:nvCxnSpPr>
        <xdr:cNvPr id="95" name="Conector recto 94"/>
        <xdr:cNvCxnSpPr/>
      </xdr:nvCxnSpPr>
      <xdr:spPr>
        <a:xfrm flipH="1">
          <a:off x="1797639" y="21202648"/>
          <a:ext cx="320387" cy="0"/>
        </a:xfrm>
        <a:prstGeom prst="line">
          <a:avLst/>
        </a:prstGeom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34987</xdr:colOff>
      <xdr:row>112</xdr:row>
      <xdr:rowOff>53686</xdr:rowOff>
    </xdr:from>
    <xdr:to>
      <xdr:col>6</xdr:col>
      <xdr:colOff>133012</xdr:colOff>
      <xdr:row>112</xdr:row>
      <xdr:rowOff>53686</xdr:rowOff>
    </xdr:to>
    <xdr:cxnSp macro="">
      <xdr:nvCxnSpPr>
        <xdr:cNvPr id="96" name="Conector recto 95"/>
        <xdr:cNvCxnSpPr/>
      </xdr:nvCxnSpPr>
      <xdr:spPr>
        <a:xfrm flipH="1">
          <a:off x="2442214" y="21207845"/>
          <a:ext cx="1622025" cy="0"/>
        </a:xfrm>
        <a:prstGeom prst="line">
          <a:avLst/>
        </a:prstGeom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146647</xdr:colOff>
      <xdr:row>113</xdr:row>
      <xdr:rowOff>171448</xdr:rowOff>
    </xdr:from>
    <xdr:to>
      <xdr:col>6</xdr:col>
      <xdr:colOff>135661</xdr:colOff>
      <xdr:row>113</xdr:row>
      <xdr:rowOff>171448</xdr:rowOff>
    </xdr:to>
    <xdr:cxnSp macro="">
      <xdr:nvCxnSpPr>
        <xdr:cNvPr id="97" name="Conector recto 96"/>
        <xdr:cNvCxnSpPr/>
      </xdr:nvCxnSpPr>
      <xdr:spPr>
        <a:xfrm flipH="1">
          <a:off x="1791874" y="21516107"/>
          <a:ext cx="2275014" cy="0"/>
        </a:xfrm>
        <a:prstGeom prst="line">
          <a:avLst/>
        </a:prstGeom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143753</xdr:colOff>
      <xdr:row>112</xdr:row>
      <xdr:rowOff>38430</xdr:rowOff>
    </xdr:from>
    <xdr:to>
      <xdr:col>3</xdr:col>
      <xdr:colOff>143753</xdr:colOff>
      <xdr:row>113</xdr:row>
      <xdr:rowOff>188421</xdr:rowOff>
    </xdr:to>
    <xdr:cxnSp macro="">
      <xdr:nvCxnSpPr>
        <xdr:cNvPr id="98" name="Conector recto 97"/>
        <xdr:cNvCxnSpPr/>
      </xdr:nvCxnSpPr>
      <xdr:spPr>
        <a:xfrm>
          <a:off x="1793310" y="20807260"/>
          <a:ext cx="0" cy="340491"/>
        </a:xfrm>
        <a:prstGeom prst="line">
          <a:avLst/>
        </a:prstGeom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140285</xdr:colOff>
      <xdr:row>111</xdr:row>
      <xdr:rowOff>152975</xdr:rowOff>
    </xdr:from>
    <xdr:to>
      <xdr:col>6</xdr:col>
      <xdr:colOff>140285</xdr:colOff>
      <xdr:row>114</xdr:row>
      <xdr:rowOff>49631</xdr:rowOff>
    </xdr:to>
    <xdr:cxnSp macro="">
      <xdr:nvCxnSpPr>
        <xdr:cNvPr id="99" name="Conector recto 98"/>
        <xdr:cNvCxnSpPr/>
      </xdr:nvCxnSpPr>
      <xdr:spPr>
        <a:xfrm>
          <a:off x="4071512" y="21116634"/>
          <a:ext cx="0" cy="468156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128172</xdr:colOff>
      <xdr:row>109</xdr:row>
      <xdr:rowOff>118095</xdr:rowOff>
    </xdr:from>
    <xdr:to>
      <xdr:col>6</xdr:col>
      <xdr:colOff>128172</xdr:colOff>
      <xdr:row>111</xdr:row>
      <xdr:rowOff>77586</xdr:rowOff>
    </xdr:to>
    <xdr:cxnSp macro="">
      <xdr:nvCxnSpPr>
        <xdr:cNvPr id="100" name="Conector recto 99"/>
        <xdr:cNvCxnSpPr/>
      </xdr:nvCxnSpPr>
      <xdr:spPr>
        <a:xfrm>
          <a:off x="4059399" y="20700754"/>
          <a:ext cx="0" cy="34049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142020</xdr:colOff>
      <xdr:row>107</xdr:row>
      <xdr:rowOff>54021</xdr:rowOff>
    </xdr:from>
    <xdr:to>
      <xdr:col>6</xdr:col>
      <xdr:colOff>142020</xdr:colOff>
      <xdr:row>109</xdr:row>
      <xdr:rowOff>13512</xdr:rowOff>
    </xdr:to>
    <xdr:cxnSp macro="">
      <xdr:nvCxnSpPr>
        <xdr:cNvPr id="101" name="Conector recto 100"/>
        <xdr:cNvCxnSpPr/>
      </xdr:nvCxnSpPr>
      <xdr:spPr>
        <a:xfrm>
          <a:off x="4073247" y="20255680"/>
          <a:ext cx="0" cy="34049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138558</xdr:colOff>
      <xdr:row>104</xdr:row>
      <xdr:rowOff>145811</xdr:rowOff>
    </xdr:from>
    <xdr:to>
      <xdr:col>6</xdr:col>
      <xdr:colOff>138558</xdr:colOff>
      <xdr:row>106</xdr:row>
      <xdr:rowOff>105302</xdr:rowOff>
    </xdr:to>
    <xdr:cxnSp macro="">
      <xdr:nvCxnSpPr>
        <xdr:cNvPr id="102" name="Conector recto 101"/>
        <xdr:cNvCxnSpPr/>
      </xdr:nvCxnSpPr>
      <xdr:spPr>
        <a:xfrm>
          <a:off x="4069785" y="19775970"/>
          <a:ext cx="0" cy="34049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135096</xdr:colOff>
      <xdr:row>102</xdr:row>
      <xdr:rowOff>38444</xdr:rowOff>
    </xdr:from>
    <xdr:to>
      <xdr:col>6</xdr:col>
      <xdr:colOff>135096</xdr:colOff>
      <xdr:row>103</xdr:row>
      <xdr:rowOff>188435</xdr:rowOff>
    </xdr:to>
    <xdr:cxnSp macro="">
      <xdr:nvCxnSpPr>
        <xdr:cNvPr id="103" name="Conector recto 102"/>
        <xdr:cNvCxnSpPr/>
      </xdr:nvCxnSpPr>
      <xdr:spPr>
        <a:xfrm>
          <a:off x="4066323" y="19287603"/>
          <a:ext cx="0" cy="34049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140293</xdr:colOff>
      <xdr:row>99</xdr:row>
      <xdr:rowOff>147551</xdr:rowOff>
    </xdr:from>
    <xdr:to>
      <xdr:col>6</xdr:col>
      <xdr:colOff>140293</xdr:colOff>
      <xdr:row>101</xdr:row>
      <xdr:rowOff>107042</xdr:rowOff>
    </xdr:to>
    <xdr:cxnSp macro="">
      <xdr:nvCxnSpPr>
        <xdr:cNvPr id="104" name="Conector recto 103"/>
        <xdr:cNvCxnSpPr/>
      </xdr:nvCxnSpPr>
      <xdr:spPr>
        <a:xfrm>
          <a:off x="4071520" y="18825210"/>
          <a:ext cx="0" cy="34049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136831</xdr:colOff>
      <xdr:row>98</xdr:row>
      <xdr:rowOff>183259</xdr:rowOff>
    </xdr:from>
    <xdr:to>
      <xdr:col>6</xdr:col>
      <xdr:colOff>136831</xdr:colOff>
      <xdr:row>99</xdr:row>
      <xdr:rowOff>99051</xdr:rowOff>
    </xdr:to>
    <xdr:cxnSp macro="">
      <xdr:nvCxnSpPr>
        <xdr:cNvPr id="105" name="Conector recto 104"/>
        <xdr:cNvCxnSpPr/>
      </xdr:nvCxnSpPr>
      <xdr:spPr>
        <a:xfrm>
          <a:off x="4068058" y="18670418"/>
          <a:ext cx="0" cy="10629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715247</xdr:colOff>
      <xdr:row>107</xdr:row>
      <xdr:rowOff>11769</xdr:rowOff>
    </xdr:from>
    <xdr:to>
      <xdr:col>3</xdr:col>
      <xdr:colOff>718712</xdr:colOff>
      <xdr:row>113</xdr:row>
      <xdr:rowOff>86591</xdr:rowOff>
    </xdr:to>
    <xdr:cxnSp macro="">
      <xdr:nvCxnSpPr>
        <xdr:cNvPr id="106" name="Conector recto 105"/>
        <xdr:cNvCxnSpPr/>
      </xdr:nvCxnSpPr>
      <xdr:spPr>
        <a:xfrm>
          <a:off x="2360474" y="20213428"/>
          <a:ext cx="3465" cy="1217822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571507</xdr:colOff>
      <xdr:row>99</xdr:row>
      <xdr:rowOff>111366</xdr:rowOff>
    </xdr:from>
    <xdr:to>
      <xdr:col>3</xdr:col>
      <xdr:colOff>573234</xdr:colOff>
      <xdr:row>113</xdr:row>
      <xdr:rowOff>86591</xdr:rowOff>
    </xdr:to>
    <xdr:cxnSp macro="">
      <xdr:nvCxnSpPr>
        <xdr:cNvPr id="107" name="Conector recto 106"/>
        <xdr:cNvCxnSpPr/>
      </xdr:nvCxnSpPr>
      <xdr:spPr>
        <a:xfrm flipH="1">
          <a:off x="2216734" y="18789025"/>
          <a:ext cx="1727" cy="264222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716888</xdr:colOff>
      <xdr:row>113</xdr:row>
      <xdr:rowOff>74465</xdr:rowOff>
    </xdr:from>
    <xdr:to>
      <xdr:col>4</xdr:col>
      <xdr:colOff>116138</xdr:colOff>
      <xdr:row>113</xdr:row>
      <xdr:rowOff>74465</xdr:rowOff>
    </xdr:to>
    <xdr:cxnSp macro="">
      <xdr:nvCxnSpPr>
        <xdr:cNvPr id="108" name="Conector recto 107"/>
        <xdr:cNvCxnSpPr/>
      </xdr:nvCxnSpPr>
      <xdr:spPr>
        <a:xfrm flipH="1">
          <a:off x="2366445" y="21033795"/>
          <a:ext cx="161250" cy="0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419014</xdr:colOff>
      <xdr:row>113</xdr:row>
      <xdr:rowOff>79661</xdr:rowOff>
    </xdr:from>
    <xdr:to>
      <xdr:col>3</xdr:col>
      <xdr:colOff>580264</xdr:colOff>
      <xdr:row>113</xdr:row>
      <xdr:rowOff>79661</xdr:rowOff>
    </xdr:to>
    <xdr:cxnSp macro="">
      <xdr:nvCxnSpPr>
        <xdr:cNvPr id="109" name="Conector recto 108"/>
        <xdr:cNvCxnSpPr/>
      </xdr:nvCxnSpPr>
      <xdr:spPr>
        <a:xfrm flipH="1">
          <a:off x="2064241" y="21424320"/>
          <a:ext cx="161250" cy="0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714375</xdr:colOff>
      <xdr:row>104</xdr:row>
      <xdr:rowOff>77932</xdr:rowOff>
    </xdr:from>
    <xdr:to>
      <xdr:col>3</xdr:col>
      <xdr:colOff>562844</xdr:colOff>
      <xdr:row>106</xdr:row>
      <xdr:rowOff>76200</xdr:rowOff>
    </xdr:to>
    <xdr:cxnSp macro="">
      <xdr:nvCxnSpPr>
        <xdr:cNvPr id="4" name="Conector curvado 3"/>
        <xdr:cNvCxnSpPr/>
      </xdr:nvCxnSpPr>
      <xdr:spPr>
        <a:xfrm flipV="1">
          <a:off x="1600200" y="20080432"/>
          <a:ext cx="610469" cy="379268"/>
        </a:xfrm>
        <a:prstGeom prst="curvedConnector3">
          <a:avLst>
            <a:gd name="adj1" fmla="val 50000"/>
          </a:avLst>
        </a:prstGeom>
        <a:ln w="19050">
          <a:solidFill>
            <a:srgbClr val="FF0000"/>
          </a:solidFill>
          <a:prstDash val="dash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736024</xdr:colOff>
      <xdr:row>105</xdr:row>
      <xdr:rowOff>34639</xdr:rowOff>
    </xdr:from>
    <xdr:to>
      <xdr:col>5</xdr:col>
      <xdr:colOff>8663</xdr:colOff>
      <xdr:row>110</xdr:row>
      <xdr:rowOff>173182</xdr:rowOff>
    </xdr:to>
    <xdr:cxnSp macro="">
      <xdr:nvCxnSpPr>
        <xdr:cNvPr id="20" name="Conector curvado 19"/>
        <xdr:cNvCxnSpPr/>
      </xdr:nvCxnSpPr>
      <xdr:spPr>
        <a:xfrm rot="5400000">
          <a:off x="2234049" y="20002500"/>
          <a:ext cx="1091043" cy="796639"/>
        </a:xfrm>
        <a:prstGeom prst="curvedConnector3">
          <a:avLst/>
        </a:prstGeom>
        <a:ln w="19050">
          <a:solidFill>
            <a:srgbClr val="FF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632125</xdr:colOff>
      <xdr:row>99</xdr:row>
      <xdr:rowOff>136122</xdr:rowOff>
    </xdr:from>
    <xdr:to>
      <xdr:col>3</xdr:col>
      <xdr:colOff>701398</xdr:colOff>
      <xdr:row>99</xdr:row>
      <xdr:rowOff>181841</xdr:rowOff>
    </xdr:to>
    <xdr:sp macro="" textlink="">
      <xdr:nvSpPr>
        <xdr:cNvPr id="21" name="Elipse 20"/>
        <xdr:cNvSpPr/>
      </xdr:nvSpPr>
      <xdr:spPr>
        <a:xfrm>
          <a:off x="2277352" y="18813781"/>
          <a:ext cx="69273" cy="45719"/>
        </a:xfrm>
        <a:prstGeom prst="ellipse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3</xdr:col>
      <xdr:colOff>637320</xdr:colOff>
      <xdr:row>100</xdr:row>
      <xdr:rowOff>80703</xdr:rowOff>
    </xdr:from>
    <xdr:to>
      <xdr:col>3</xdr:col>
      <xdr:colOff>706593</xdr:colOff>
      <xdr:row>100</xdr:row>
      <xdr:rowOff>126422</xdr:rowOff>
    </xdr:to>
    <xdr:sp macro="" textlink="">
      <xdr:nvSpPr>
        <xdr:cNvPr id="110" name="Elipse 109"/>
        <xdr:cNvSpPr/>
      </xdr:nvSpPr>
      <xdr:spPr>
        <a:xfrm>
          <a:off x="2282547" y="18948862"/>
          <a:ext cx="69273" cy="45719"/>
        </a:xfrm>
        <a:prstGeom prst="ellipse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3</xdr:col>
      <xdr:colOff>633856</xdr:colOff>
      <xdr:row>101</xdr:row>
      <xdr:rowOff>59922</xdr:rowOff>
    </xdr:from>
    <xdr:to>
      <xdr:col>3</xdr:col>
      <xdr:colOff>703129</xdr:colOff>
      <xdr:row>101</xdr:row>
      <xdr:rowOff>105641</xdr:rowOff>
    </xdr:to>
    <xdr:sp macro="" textlink="">
      <xdr:nvSpPr>
        <xdr:cNvPr id="111" name="Elipse 110"/>
        <xdr:cNvSpPr/>
      </xdr:nvSpPr>
      <xdr:spPr>
        <a:xfrm>
          <a:off x="2279083" y="19118581"/>
          <a:ext cx="69273" cy="45719"/>
        </a:xfrm>
        <a:prstGeom prst="ellipse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3</xdr:col>
      <xdr:colOff>626064</xdr:colOff>
      <xdr:row>102</xdr:row>
      <xdr:rowOff>4503</xdr:rowOff>
    </xdr:from>
    <xdr:to>
      <xdr:col>3</xdr:col>
      <xdr:colOff>695337</xdr:colOff>
      <xdr:row>102</xdr:row>
      <xdr:rowOff>50222</xdr:rowOff>
    </xdr:to>
    <xdr:sp macro="" textlink="">
      <xdr:nvSpPr>
        <xdr:cNvPr id="112" name="Elipse 111"/>
        <xdr:cNvSpPr/>
      </xdr:nvSpPr>
      <xdr:spPr>
        <a:xfrm>
          <a:off x="2275621" y="18868333"/>
          <a:ext cx="69273" cy="45719"/>
        </a:xfrm>
        <a:prstGeom prst="ellipse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3</xdr:col>
      <xdr:colOff>626928</xdr:colOff>
      <xdr:row>102</xdr:row>
      <xdr:rowOff>148244</xdr:rowOff>
    </xdr:from>
    <xdr:to>
      <xdr:col>3</xdr:col>
      <xdr:colOff>696201</xdr:colOff>
      <xdr:row>103</xdr:row>
      <xdr:rowOff>3463</xdr:rowOff>
    </xdr:to>
    <xdr:sp macro="" textlink="">
      <xdr:nvSpPr>
        <xdr:cNvPr id="113" name="Elipse 112"/>
        <xdr:cNvSpPr/>
      </xdr:nvSpPr>
      <xdr:spPr>
        <a:xfrm>
          <a:off x="2276485" y="19012074"/>
          <a:ext cx="69273" cy="45719"/>
        </a:xfrm>
        <a:prstGeom prst="ellipse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3</xdr:col>
      <xdr:colOff>623466</xdr:colOff>
      <xdr:row>103</xdr:row>
      <xdr:rowOff>101485</xdr:rowOff>
    </xdr:from>
    <xdr:to>
      <xdr:col>3</xdr:col>
      <xdr:colOff>692739</xdr:colOff>
      <xdr:row>103</xdr:row>
      <xdr:rowOff>147204</xdr:rowOff>
    </xdr:to>
    <xdr:sp macro="" textlink="">
      <xdr:nvSpPr>
        <xdr:cNvPr id="114" name="Elipse 113"/>
        <xdr:cNvSpPr/>
      </xdr:nvSpPr>
      <xdr:spPr>
        <a:xfrm>
          <a:off x="2273023" y="19155815"/>
          <a:ext cx="69273" cy="45719"/>
        </a:xfrm>
        <a:prstGeom prst="ellipse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3</xdr:col>
      <xdr:colOff>619999</xdr:colOff>
      <xdr:row>104</xdr:row>
      <xdr:rowOff>67715</xdr:rowOff>
    </xdr:from>
    <xdr:to>
      <xdr:col>3</xdr:col>
      <xdr:colOff>689272</xdr:colOff>
      <xdr:row>104</xdr:row>
      <xdr:rowOff>113434</xdr:rowOff>
    </xdr:to>
    <xdr:sp macro="" textlink="">
      <xdr:nvSpPr>
        <xdr:cNvPr id="115" name="Elipse 114"/>
        <xdr:cNvSpPr/>
      </xdr:nvSpPr>
      <xdr:spPr>
        <a:xfrm>
          <a:off x="2269556" y="19312545"/>
          <a:ext cx="69273" cy="45719"/>
        </a:xfrm>
        <a:prstGeom prst="ellipse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3</xdr:col>
      <xdr:colOff>625198</xdr:colOff>
      <xdr:row>105</xdr:row>
      <xdr:rowOff>16626</xdr:rowOff>
    </xdr:from>
    <xdr:to>
      <xdr:col>3</xdr:col>
      <xdr:colOff>694471</xdr:colOff>
      <xdr:row>105</xdr:row>
      <xdr:rowOff>62345</xdr:rowOff>
    </xdr:to>
    <xdr:sp macro="" textlink="">
      <xdr:nvSpPr>
        <xdr:cNvPr id="116" name="Elipse 115"/>
        <xdr:cNvSpPr/>
      </xdr:nvSpPr>
      <xdr:spPr>
        <a:xfrm>
          <a:off x="2274755" y="19451956"/>
          <a:ext cx="69273" cy="45719"/>
        </a:xfrm>
        <a:prstGeom prst="ellipse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3</xdr:col>
      <xdr:colOff>608746</xdr:colOff>
      <xdr:row>105</xdr:row>
      <xdr:rowOff>134390</xdr:rowOff>
    </xdr:from>
    <xdr:to>
      <xdr:col>3</xdr:col>
      <xdr:colOff>678019</xdr:colOff>
      <xdr:row>105</xdr:row>
      <xdr:rowOff>180109</xdr:rowOff>
    </xdr:to>
    <xdr:sp macro="" textlink="">
      <xdr:nvSpPr>
        <xdr:cNvPr id="117" name="Elipse 116"/>
        <xdr:cNvSpPr/>
      </xdr:nvSpPr>
      <xdr:spPr>
        <a:xfrm>
          <a:off x="2258303" y="19569720"/>
          <a:ext cx="69273" cy="45719"/>
        </a:xfrm>
        <a:prstGeom prst="ellipse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3</xdr:col>
      <xdr:colOff>613941</xdr:colOff>
      <xdr:row>106</xdr:row>
      <xdr:rowOff>87630</xdr:rowOff>
    </xdr:from>
    <xdr:to>
      <xdr:col>3</xdr:col>
      <xdr:colOff>683214</xdr:colOff>
      <xdr:row>106</xdr:row>
      <xdr:rowOff>133349</xdr:rowOff>
    </xdr:to>
    <xdr:sp macro="" textlink="">
      <xdr:nvSpPr>
        <xdr:cNvPr id="118" name="Elipse 117"/>
        <xdr:cNvSpPr/>
      </xdr:nvSpPr>
      <xdr:spPr>
        <a:xfrm>
          <a:off x="2263498" y="19713460"/>
          <a:ext cx="69273" cy="45719"/>
        </a:xfrm>
        <a:prstGeom prst="ellipse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3</xdr:col>
      <xdr:colOff>614807</xdr:colOff>
      <xdr:row>107</xdr:row>
      <xdr:rowOff>32213</xdr:rowOff>
    </xdr:from>
    <xdr:to>
      <xdr:col>3</xdr:col>
      <xdr:colOff>684080</xdr:colOff>
      <xdr:row>107</xdr:row>
      <xdr:rowOff>77932</xdr:rowOff>
    </xdr:to>
    <xdr:sp macro="" textlink="">
      <xdr:nvSpPr>
        <xdr:cNvPr id="119" name="Elipse 118"/>
        <xdr:cNvSpPr/>
      </xdr:nvSpPr>
      <xdr:spPr>
        <a:xfrm>
          <a:off x="2260034" y="20233872"/>
          <a:ext cx="69273" cy="45719"/>
        </a:xfrm>
        <a:prstGeom prst="ellipse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3</xdr:col>
      <xdr:colOff>611343</xdr:colOff>
      <xdr:row>107</xdr:row>
      <xdr:rowOff>162964</xdr:rowOff>
    </xdr:from>
    <xdr:to>
      <xdr:col>3</xdr:col>
      <xdr:colOff>680616</xdr:colOff>
      <xdr:row>108</xdr:row>
      <xdr:rowOff>18183</xdr:rowOff>
    </xdr:to>
    <xdr:sp macro="" textlink="">
      <xdr:nvSpPr>
        <xdr:cNvPr id="120" name="Elipse 119"/>
        <xdr:cNvSpPr/>
      </xdr:nvSpPr>
      <xdr:spPr>
        <a:xfrm>
          <a:off x="2260900" y="19979294"/>
          <a:ext cx="69273" cy="45719"/>
        </a:xfrm>
        <a:prstGeom prst="ellipse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3</xdr:col>
      <xdr:colOff>616539</xdr:colOff>
      <xdr:row>108</xdr:row>
      <xdr:rowOff>103218</xdr:rowOff>
    </xdr:from>
    <xdr:to>
      <xdr:col>3</xdr:col>
      <xdr:colOff>685812</xdr:colOff>
      <xdr:row>108</xdr:row>
      <xdr:rowOff>148937</xdr:rowOff>
    </xdr:to>
    <xdr:sp macro="" textlink="">
      <xdr:nvSpPr>
        <xdr:cNvPr id="121" name="Elipse 120"/>
        <xdr:cNvSpPr/>
      </xdr:nvSpPr>
      <xdr:spPr>
        <a:xfrm>
          <a:off x="2266096" y="20110048"/>
          <a:ext cx="69273" cy="45719"/>
        </a:xfrm>
        <a:prstGeom prst="ellipse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3</xdr:col>
      <xdr:colOff>613075</xdr:colOff>
      <xdr:row>109</xdr:row>
      <xdr:rowOff>26152</xdr:rowOff>
    </xdr:from>
    <xdr:to>
      <xdr:col>3</xdr:col>
      <xdr:colOff>682348</xdr:colOff>
      <xdr:row>109</xdr:row>
      <xdr:rowOff>71871</xdr:rowOff>
    </xdr:to>
    <xdr:sp macro="" textlink="">
      <xdr:nvSpPr>
        <xdr:cNvPr id="122" name="Elipse 121"/>
        <xdr:cNvSpPr/>
      </xdr:nvSpPr>
      <xdr:spPr>
        <a:xfrm>
          <a:off x="2262632" y="20223482"/>
          <a:ext cx="69273" cy="45719"/>
        </a:xfrm>
        <a:prstGeom prst="ellipse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3</xdr:col>
      <xdr:colOff>609611</xdr:colOff>
      <xdr:row>109</xdr:row>
      <xdr:rowOff>135255</xdr:rowOff>
    </xdr:from>
    <xdr:to>
      <xdr:col>3</xdr:col>
      <xdr:colOff>678884</xdr:colOff>
      <xdr:row>109</xdr:row>
      <xdr:rowOff>180974</xdr:rowOff>
    </xdr:to>
    <xdr:sp macro="" textlink="">
      <xdr:nvSpPr>
        <xdr:cNvPr id="123" name="Elipse 122"/>
        <xdr:cNvSpPr/>
      </xdr:nvSpPr>
      <xdr:spPr>
        <a:xfrm>
          <a:off x="2259168" y="20332585"/>
          <a:ext cx="69273" cy="45719"/>
        </a:xfrm>
        <a:prstGeom prst="ellipse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3</xdr:col>
      <xdr:colOff>610476</xdr:colOff>
      <xdr:row>110</xdr:row>
      <xdr:rowOff>79837</xdr:rowOff>
    </xdr:from>
    <xdr:to>
      <xdr:col>3</xdr:col>
      <xdr:colOff>679749</xdr:colOff>
      <xdr:row>110</xdr:row>
      <xdr:rowOff>125556</xdr:rowOff>
    </xdr:to>
    <xdr:sp macro="" textlink="">
      <xdr:nvSpPr>
        <xdr:cNvPr id="124" name="Elipse 123"/>
        <xdr:cNvSpPr/>
      </xdr:nvSpPr>
      <xdr:spPr>
        <a:xfrm>
          <a:off x="2260033" y="20467667"/>
          <a:ext cx="69273" cy="45719"/>
        </a:xfrm>
        <a:prstGeom prst="ellipse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3</xdr:col>
      <xdr:colOff>611340</xdr:colOff>
      <xdr:row>111</xdr:row>
      <xdr:rowOff>28749</xdr:rowOff>
    </xdr:from>
    <xdr:to>
      <xdr:col>3</xdr:col>
      <xdr:colOff>680613</xdr:colOff>
      <xdr:row>111</xdr:row>
      <xdr:rowOff>74468</xdr:rowOff>
    </xdr:to>
    <xdr:sp macro="" textlink="">
      <xdr:nvSpPr>
        <xdr:cNvPr id="125" name="Elipse 124"/>
        <xdr:cNvSpPr/>
      </xdr:nvSpPr>
      <xdr:spPr>
        <a:xfrm>
          <a:off x="2260897" y="20607079"/>
          <a:ext cx="69273" cy="45719"/>
        </a:xfrm>
        <a:prstGeom prst="ellipse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3</xdr:col>
      <xdr:colOff>616539</xdr:colOff>
      <xdr:row>111</xdr:row>
      <xdr:rowOff>168160</xdr:rowOff>
    </xdr:from>
    <xdr:to>
      <xdr:col>3</xdr:col>
      <xdr:colOff>685812</xdr:colOff>
      <xdr:row>112</xdr:row>
      <xdr:rowOff>23379</xdr:rowOff>
    </xdr:to>
    <xdr:sp macro="" textlink="">
      <xdr:nvSpPr>
        <xdr:cNvPr id="126" name="Elipse 125"/>
        <xdr:cNvSpPr/>
      </xdr:nvSpPr>
      <xdr:spPr>
        <a:xfrm>
          <a:off x="2266096" y="20746490"/>
          <a:ext cx="69273" cy="45719"/>
        </a:xfrm>
        <a:prstGeom prst="ellipse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3</xdr:col>
      <xdr:colOff>666763</xdr:colOff>
      <xdr:row>99</xdr:row>
      <xdr:rowOff>136122</xdr:rowOff>
    </xdr:from>
    <xdr:to>
      <xdr:col>6</xdr:col>
      <xdr:colOff>390526</xdr:colOff>
      <xdr:row>100</xdr:row>
      <xdr:rowOff>95250</xdr:rowOff>
    </xdr:to>
    <xdr:cxnSp macro="">
      <xdr:nvCxnSpPr>
        <xdr:cNvPr id="50" name="Conector curvado 49"/>
        <xdr:cNvCxnSpPr>
          <a:endCxn id="21" idx="0"/>
        </xdr:cNvCxnSpPr>
      </xdr:nvCxnSpPr>
      <xdr:spPr>
        <a:xfrm rot="10800000">
          <a:off x="2314588" y="19186122"/>
          <a:ext cx="2009763" cy="149628"/>
        </a:xfrm>
        <a:prstGeom prst="curvedConnector4">
          <a:avLst>
            <a:gd name="adj1" fmla="val 49138"/>
            <a:gd name="adj2" fmla="val 252779"/>
          </a:avLst>
        </a:prstGeom>
        <a:ln w="19050">
          <a:solidFill>
            <a:srgbClr val="FF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122092</xdr:colOff>
      <xdr:row>56</xdr:row>
      <xdr:rowOff>104773</xdr:rowOff>
    </xdr:from>
    <xdr:to>
      <xdr:col>14</xdr:col>
      <xdr:colOff>38100</xdr:colOff>
      <xdr:row>69</xdr:row>
      <xdr:rowOff>85724</xdr:rowOff>
    </xdr:to>
    <xdr:graphicFrame macro="">
      <xdr:nvGraphicFramePr>
        <xdr:cNvPr id="127" name="Gráfico 1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90920</xdr:colOff>
      <xdr:row>26</xdr:row>
      <xdr:rowOff>96115</xdr:rowOff>
    </xdr:from>
    <xdr:to>
      <xdr:col>13</xdr:col>
      <xdr:colOff>753341</xdr:colOff>
      <xdr:row>39</xdr:row>
      <xdr:rowOff>47625</xdr:rowOff>
    </xdr:to>
    <xdr:graphicFrame macro="">
      <xdr:nvGraphicFramePr>
        <xdr:cNvPr id="128" name="Gráfico 1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3</xdr:col>
      <xdr:colOff>746767</xdr:colOff>
      <xdr:row>42</xdr:row>
      <xdr:rowOff>27798</xdr:rowOff>
    </xdr:from>
    <xdr:ext cx="129240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9" name="CuadroTexto 128"/>
            <xdr:cNvSpPr txBox="1"/>
          </xdr:nvSpPr>
          <xdr:spPr>
            <a:xfrm>
              <a:off x="2391994" y="7500593"/>
              <a:ext cx="129240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PE" sz="1100" b="0" i="1">
                        <a:latin typeface="Cambria Math" panose="02040503050406030204" pitchFamily="18" charset="0"/>
                      </a:rPr>
                      <m:t>𝐴𝑚𝑖𝑛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=.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0025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𝑏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𝑡</m:t>
                    </m:r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129" name="CuadroTexto 128"/>
            <xdr:cNvSpPr txBox="1"/>
          </xdr:nvSpPr>
          <xdr:spPr>
            <a:xfrm>
              <a:off x="2391994" y="7500593"/>
              <a:ext cx="129240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PE" sz="1100" b="0" i="0">
                  <a:latin typeface="Cambria Math" panose="02040503050406030204" pitchFamily="18" charset="0"/>
                </a:rPr>
                <a:t>𝐴𝑚𝑖𝑛</a:t>
              </a:r>
              <a:r>
                <a:rPr lang="es-PE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=.0025∗𝑏∗𝑡</a:t>
              </a:r>
              <a:endParaRPr lang="es-PE" sz="1100"/>
            </a:p>
          </xdr:txBody>
        </xdr:sp>
      </mc:Fallback>
    </mc:AlternateContent>
    <xdr:clientData/>
  </xdr:oneCellAnchor>
  <xdr:twoCellAnchor>
    <xdr:from>
      <xdr:col>2</xdr:col>
      <xdr:colOff>152482</xdr:colOff>
      <xdr:row>119</xdr:row>
      <xdr:rowOff>128740</xdr:rowOff>
    </xdr:from>
    <xdr:to>
      <xdr:col>6</xdr:col>
      <xdr:colOff>94165</xdr:colOff>
      <xdr:row>121</xdr:row>
      <xdr:rowOff>12131</xdr:rowOff>
    </xdr:to>
    <xdr:sp macro="" textlink="">
      <xdr:nvSpPr>
        <xdr:cNvPr id="136" name="Forma libre 135"/>
        <xdr:cNvSpPr/>
      </xdr:nvSpPr>
      <xdr:spPr>
        <a:xfrm>
          <a:off x="1035709" y="22616399"/>
          <a:ext cx="2989683" cy="264391"/>
        </a:xfrm>
        <a:custGeom>
          <a:avLst/>
          <a:gdLst>
            <a:gd name="connsiteX0" fmla="*/ 0 w 2974132"/>
            <a:gd name="connsiteY0" fmla="*/ 9743 h 272167"/>
            <a:gd name="connsiteX1" fmla="*/ 48597 w 2974132"/>
            <a:gd name="connsiteY1" fmla="*/ 19463 h 272167"/>
            <a:gd name="connsiteX2" fmla="*/ 106913 w 2974132"/>
            <a:gd name="connsiteY2" fmla="*/ 58340 h 272167"/>
            <a:gd name="connsiteX3" fmla="*/ 242984 w 2974132"/>
            <a:gd name="connsiteY3" fmla="*/ 116656 h 272167"/>
            <a:gd name="connsiteX4" fmla="*/ 330459 w 2974132"/>
            <a:gd name="connsiteY4" fmla="*/ 155534 h 272167"/>
            <a:gd name="connsiteX5" fmla="*/ 359617 w 2974132"/>
            <a:gd name="connsiteY5" fmla="*/ 165253 h 272167"/>
            <a:gd name="connsiteX6" fmla="*/ 388775 w 2974132"/>
            <a:gd name="connsiteY6" fmla="*/ 174973 h 272167"/>
            <a:gd name="connsiteX7" fmla="*/ 563724 w 2974132"/>
            <a:gd name="connsiteY7" fmla="*/ 184692 h 272167"/>
            <a:gd name="connsiteX8" fmla="*/ 660918 w 2974132"/>
            <a:gd name="connsiteY8" fmla="*/ 204131 h 272167"/>
            <a:gd name="connsiteX9" fmla="*/ 758112 w 2974132"/>
            <a:gd name="connsiteY9" fmla="*/ 223570 h 272167"/>
            <a:gd name="connsiteX10" fmla="*/ 787270 w 2974132"/>
            <a:gd name="connsiteY10" fmla="*/ 233289 h 272167"/>
            <a:gd name="connsiteX11" fmla="*/ 874745 w 2974132"/>
            <a:gd name="connsiteY11" fmla="*/ 243008 h 272167"/>
            <a:gd name="connsiteX12" fmla="*/ 903903 w 2974132"/>
            <a:gd name="connsiteY12" fmla="*/ 252728 h 272167"/>
            <a:gd name="connsiteX13" fmla="*/ 1156607 w 2974132"/>
            <a:gd name="connsiteY13" fmla="*/ 272167 h 272167"/>
            <a:gd name="connsiteX14" fmla="*/ 1574540 w 2974132"/>
            <a:gd name="connsiteY14" fmla="*/ 262447 h 272167"/>
            <a:gd name="connsiteX15" fmla="*/ 1691173 w 2974132"/>
            <a:gd name="connsiteY15" fmla="*/ 252728 h 272167"/>
            <a:gd name="connsiteX16" fmla="*/ 1836964 w 2974132"/>
            <a:gd name="connsiteY16" fmla="*/ 243008 h 272167"/>
            <a:gd name="connsiteX17" fmla="*/ 2322933 w 2974132"/>
            <a:gd name="connsiteY17" fmla="*/ 223570 h 272167"/>
            <a:gd name="connsiteX18" fmla="*/ 2400688 w 2974132"/>
            <a:gd name="connsiteY18" fmla="*/ 204131 h 272167"/>
            <a:gd name="connsiteX19" fmla="*/ 2459005 w 2974132"/>
            <a:gd name="connsiteY19" fmla="*/ 194411 h 272167"/>
            <a:gd name="connsiteX20" fmla="*/ 2517321 w 2974132"/>
            <a:gd name="connsiteY20" fmla="*/ 174973 h 272167"/>
            <a:gd name="connsiteX21" fmla="*/ 2663112 w 2974132"/>
            <a:gd name="connsiteY21" fmla="*/ 126376 h 272167"/>
            <a:gd name="connsiteX22" fmla="*/ 2721428 w 2974132"/>
            <a:gd name="connsiteY22" fmla="*/ 106937 h 272167"/>
            <a:gd name="connsiteX23" fmla="*/ 2779745 w 2974132"/>
            <a:gd name="connsiteY23" fmla="*/ 97218 h 272167"/>
            <a:gd name="connsiteX24" fmla="*/ 2808903 w 2974132"/>
            <a:gd name="connsiteY24" fmla="*/ 87498 h 272167"/>
            <a:gd name="connsiteX25" fmla="*/ 2867219 w 2974132"/>
            <a:gd name="connsiteY25" fmla="*/ 48621 h 272167"/>
            <a:gd name="connsiteX26" fmla="*/ 2925535 w 2974132"/>
            <a:gd name="connsiteY26" fmla="*/ 29182 h 272167"/>
            <a:gd name="connsiteX27" fmla="*/ 2974132 w 2974132"/>
            <a:gd name="connsiteY27" fmla="*/ 24 h 27216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</a:cxnLst>
          <a:rect l="l" t="t" r="r" b="b"/>
          <a:pathLst>
            <a:path w="2974132" h="272167">
              <a:moveTo>
                <a:pt x="0" y="9743"/>
              </a:moveTo>
              <a:cubicBezTo>
                <a:pt x="16199" y="12983"/>
                <a:pt x="33558" y="12627"/>
                <a:pt x="48597" y="19463"/>
              </a:cubicBezTo>
              <a:cubicBezTo>
                <a:pt x="69865" y="29130"/>
                <a:pt x="86551" y="46886"/>
                <a:pt x="106913" y="58340"/>
              </a:cubicBezTo>
              <a:cubicBezTo>
                <a:pt x="194227" y="107454"/>
                <a:pt x="177016" y="100164"/>
                <a:pt x="242984" y="116656"/>
              </a:cubicBezTo>
              <a:cubicBezTo>
                <a:pt x="289191" y="147461"/>
                <a:pt x="261061" y="132402"/>
                <a:pt x="330459" y="155534"/>
              </a:cubicBezTo>
              <a:lnTo>
                <a:pt x="359617" y="165253"/>
              </a:lnTo>
              <a:cubicBezTo>
                <a:pt x="369336" y="168493"/>
                <a:pt x="378546" y="174405"/>
                <a:pt x="388775" y="174973"/>
              </a:cubicBezTo>
              <a:lnTo>
                <a:pt x="563724" y="184692"/>
              </a:lnTo>
              <a:cubicBezTo>
                <a:pt x="622107" y="204152"/>
                <a:pt x="565988" y="187378"/>
                <a:pt x="660918" y="204131"/>
              </a:cubicBezTo>
              <a:cubicBezTo>
                <a:pt x="693455" y="209873"/>
                <a:pt x="726768" y="213122"/>
                <a:pt x="758112" y="223570"/>
              </a:cubicBezTo>
              <a:cubicBezTo>
                <a:pt x="767831" y="226810"/>
                <a:pt x="777164" y="231605"/>
                <a:pt x="787270" y="233289"/>
              </a:cubicBezTo>
              <a:cubicBezTo>
                <a:pt x="816209" y="238112"/>
                <a:pt x="845587" y="239768"/>
                <a:pt x="874745" y="243008"/>
              </a:cubicBezTo>
              <a:cubicBezTo>
                <a:pt x="884464" y="246248"/>
                <a:pt x="893857" y="250719"/>
                <a:pt x="903903" y="252728"/>
              </a:cubicBezTo>
              <a:cubicBezTo>
                <a:pt x="982911" y="268530"/>
                <a:pt x="1083732" y="268331"/>
                <a:pt x="1156607" y="272167"/>
              </a:cubicBezTo>
              <a:lnTo>
                <a:pt x="1574540" y="262447"/>
              </a:lnTo>
              <a:cubicBezTo>
                <a:pt x="1613527" y="261029"/>
                <a:pt x="1652267" y="255610"/>
                <a:pt x="1691173" y="252728"/>
              </a:cubicBezTo>
              <a:lnTo>
                <a:pt x="1836964" y="243008"/>
              </a:lnTo>
              <a:cubicBezTo>
                <a:pt x="2014361" y="183878"/>
                <a:pt x="1800141" y="252086"/>
                <a:pt x="2322933" y="223570"/>
              </a:cubicBezTo>
              <a:cubicBezTo>
                <a:pt x="2349609" y="222115"/>
                <a:pt x="2374336" y="208523"/>
                <a:pt x="2400688" y="204131"/>
              </a:cubicBezTo>
              <a:cubicBezTo>
                <a:pt x="2420127" y="200891"/>
                <a:pt x="2439886" y="199191"/>
                <a:pt x="2459005" y="194411"/>
              </a:cubicBezTo>
              <a:cubicBezTo>
                <a:pt x="2478883" y="189441"/>
                <a:pt x="2497882" y="181453"/>
                <a:pt x="2517321" y="174973"/>
              </a:cubicBezTo>
              <a:lnTo>
                <a:pt x="2663112" y="126376"/>
              </a:lnTo>
              <a:cubicBezTo>
                <a:pt x="2663119" y="126374"/>
                <a:pt x="2721420" y="106938"/>
                <a:pt x="2721428" y="106937"/>
              </a:cubicBezTo>
              <a:lnTo>
                <a:pt x="2779745" y="97218"/>
              </a:lnTo>
              <a:cubicBezTo>
                <a:pt x="2789464" y="93978"/>
                <a:pt x="2799947" y="92474"/>
                <a:pt x="2808903" y="87498"/>
              </a:cubicBezTo>
              <a:cubicBezTo>
                <a:pt x="2829325" y="76152"/>
                <a:pt x="2845056" y="56009"/>
                <a:pt x="2867219" y="48621"/>
              </a:cubicBezTo>
              <a:lnTo>
                <a:pt x="2925535" y="29182"/>
              </a:lnTo>
              <a:cubicBezTo>
                <a:pt x="2967005" y="-1920"/>
                <a:pt x="2948214" y="24"/>
                <a:pt x="2974132" y="24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2</xdr:col>
      <xdr:colOff>188661</xdr:colOff>
      <xdr:row>128</xdr:row>
      <xdr:rowOff>28823</xdr:rowOff>
    </xdr:from>
    <xdr:to>
      <xdr:col>6</xdr:col>
      <xdr:colOff>130344</xdr:colOff>
      <xdr:row>129</xdr:row>
      <xdr:rowOff>106602</xdr:rowOff>
    </xdr:to>
    <xdr:sp macro="" textlink="">
      <xdr:nvSpPr>
        <xdr:cNvPr id="137" name="Forma libre 136"/>
        <xdr:cNvSpPr/>
      </xdr:nvSpPr>
      <xdr:spPr>
        <a:xfrm>
          <a:off x="1071888" y="24230982"/>
          <a:ext cx="2989683" cy="268279"/>
        </a:xfrm>
        <a:custGeom>
          <a:avLst/>
          <a:gdLst>
            <a:gd name="connsiteX0" fmla="*/ 0 w 2974132"/>
            <a:gd name="connsiteY0" fmla="*/ 9743 h 272167"/>
            <a:gd name="connsiteX1" fmla="*/ 48597 w 2974132"/>
            <a:gd name="connsiteY1" fmla="*/ 19463 h 272167"/>
            <a:gd name="connsiteX2" fmla="*/ 106913 w 2974132"/>
            <a:gd name="connsiteY2" fmla="*/ 58340 h 272167"/>
            <a:gd name="connsiteX3" fmla="*/ 242984 w 2974132"/>
            <a:gd name="connsiteY3" fmla="*/ 116656 h 272167"/>
            <a:gd name="connsiteX4" fmla="*/ 330459 w 2974132"/>
            <a:gd name="connsiteY4" fmla="*/ 155534 h 272167"/>
            <a:gd name="connsiteX5" fmla="*/ 359617 w 2974132"/>
            <a:gd name="connsiteY5" fmla="*/ 165253 h 272167"/>
            <a:gd name="connsiteX6" fmla="*/ 388775 w 2974132"/>
            <a:gd name="connsiteY6" fmla="*/ 174973 h 272167"/>
            <a:gd name="connsiteX7" fmla="*/ 563724 w 2974132"/>
            <a:gd name="connsiteY7" fmla="*/ 184692 h 272167"/>
            <a:gd name="connsiteX8" fmla="*/ 660918 w 2974132"/>
            <a:gd name="connsiteY8" fmla="*/ 204131 h 272167"/>
            <a:gd name="connsiteX9" fmla="*/ 758112 w 2974132"/>
            <a:gd name="connsiteY9" fmla="*/ 223570 h 272167"/>
            <a:gd name="connsiteX10" fmla="*/ 787270 w 2974132"/>
            <a:gd name="connsiteY10" fmla="*/ 233289 h 272167"/>
            <a:gd name="connsiteX11" fmla="*/ 874745 w 2974132"/>
            <a:gd name="connsiteY11" fmla="*/ 243008 h 272167"/>
            <a:gd name="connsiteX12" fmla="*/ 903903 w 2974132"/>
            <a:gd name="connsiteY12" fmla="*/ 252728 h 272167"/>
            <a:gd name="connsiteX13" fmla="*/ 1156607 w 2974132"/>
            <a:gd name="connsiteY13" fmla="*/ 272167 h 272167"/>
            <a:gd name="connsiteX14" fmla="*/ 1574540 w 2974132"/>
            <a:gd name="connsiteY14" fmla="*/ 262447 h 272167"/>
            <a:gd name="connsiteX15" fmla="*/ 1691173 w 2974132"/>
            <a:gd name="connsiteY15" fmla="*/ 252728 h 272167"/>
            <a:gd name="connsiteX16" fmla="*/ 1836964 w 2974132"/>
            <a:gd name="connsiteY16" fmla="*/ 243008 h 272167"/>
            <a:gd name="connsiteX17" fmla="*/ 2322933 w 2974132"/>
            <a:gd name="connsiteY17" fmla="*/ 223570 h 272167"/>
            <a:gd name="connsiteX18" fmla="*/ 2400688 w 2974132"/>
            <a:gd name="connsiteY18" fmla="*/ 204131 h 272167"/>
            <a:gd name="connsiteX19" fmla="*/ 2459005 w 2974132"/>
            <a:gd name="connsiteY19" fmla="*/ 194411 h 272167"/>
            <a:gd name="connsiteX20" fmla="*/ 2517321 w 2974132"/>
            <a:gd name="connsiteY20" fmla="*/ 174973 h 272167"/>
            <a:gd name="connsiteX21" fmla="*/ 2663112 w 2974132"/>
            <a:gd name="connsiteY21" fmla="*/ 126376 h 272167"/>
            <a:gd name="connsiteX22" fmla="*/ 2721428 w 2974132"/>
            <a:gd name="connsiteY22" fmla="*/ 106937 h 272167"/>
            <a:gd name="connsiteX23" fmla="*/ 2779745 w 2974132"/>
            <a:gd name="connsiteY23" fmla="*/ 97218 h 272167"/>
            <a:gd name="connsiteX24" fmla="*/ 2808903 w 2974132"/>
            <a:gd name="connsiteY24" fmla="*/ 87498 h 272167"/>
            <a:gd name="connsiteX25" fmla="*/ 2867219 w 2974132"/>
            <a:gd name="connsiteY25" fmla="*/ 48621 h 272167"/>
            <a:gd name="connsiteX26" fmla="*/ 2925535 w 2974132"/>
            <a:gd name="connsiteY26" fmla="*/ 29182 h 272167"/>
            <a:gd name="connsiteX27" fmla="*/ 2974132 w 2974132"/>
            <a:gd name="connsiteY27" fmla="*/ 24 h 27216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</a:cxnLst>
          <a:rect l="l" t="t" r="r" b="b"/>
          <a:pathLst>
            <a:path w="2974132" h="272167">
              <a:moveTo>
                <a:pt x="0" y="9743"/>
              </a:moveTo>
              <a:cubicBezTo>
                <a:pt x="16199" y="12983"/>
                <a:pt x="33558" y="12627"/>
                <a:pt x="48597" y="19463"/>
              </a:cubicBezTo>
              <a:cubicBezTo>
                <a:pt x="69865" y="29130"/>
                <a:pt x="86551" y="46886"/>
                <a:pt x="106913" y="58340"/>
              </a:cubicBezTo>
              <a:cubicBezTo>
                <a:pt x="194227" y="107454"/>
                <a:pt x="177016" y="100164"/>
                <a:pt x="242984" y="116656"/>
              </a:cubicBezTo>
              <a:cubicBezTo>
                <a:pt x="289191" y="147461"/>
                <a:pt x="261061" y="132402"/>
                <a:pt x="330459" y="155534"/>
              </a:cubicBezTo>
              <a:lnTo>
                <a:pt x="359617" y="165253"/>
              </a:lnTo>
              <a:cubicBezTo>
                <a:pt x="369336" y="168493"/>
                <a:pt x="378546" y="174405"/>
                <a:pt x="388775" y="174973"/>
              </a:cubicBezTo>
              <a:lnTo>
                <a:pt x="563724" y="184692"/>
              </a:lnTo>
              <a:cubicBezTo>
                <a:pt x="622107" y="204152"/>
                <a:pt x="565988" y="187378"/>
                <a:pt x="660918" y="204131"/>
              </a:cubicBezTo>
              <a:cubicBezTo>
                <a:pt x="693455" y="209873"/>
                <a:pt x="726768" y="213122"/>
                <a:pt x="758112" y="223570"/>
              </a:cubicBezTo>
              <a:cubicBezTo>
                <a:pt x="767831" y="226810"/>
                <a:pt x="777164" y="231605"/>
                <a:pt x="787270" y="233289"/>
              </a:cubicBezTo>
              <a:cubicBezTo>
                <a:pt x="816209" y="238112"/>
                <a:pt x="845587" y="239768"/>
                <a:pt x="874745" y="243008"/>
              </a:cubicBezTo>
              <a:cubicBezTo>
                <a:pt x="884464" y="246248"/>
                <a:pt x="893857" y="250719"/>
                <a:pt x="903903" y="252728"/>
              </a:cubicBezTo>
              <a:cubicBezTo>
                <a:pt x="982911" y="268530"/>
                <a:pt x="1083732" y="268331"/>
                <a:pt x="1156607" y="272167"/>
              </a:cubicBezTo>
              <a:lnTo>
                <a:pt x="1574540" y="262447"/>
              </a:lnTo>
              <a:cubicBezTo>
                <a:pt x="1613527" y="261029"/>
                <a:pt x="1652267" y="255610"/>
                <a:pt x="1691173" y="252728"/>
              </a:cubicBezTo>
              <a:lnTo>
                <a:pt x="1836964" y="243008"/>
              </a:lnTo>
              <a:cubicBezTo>
                <a:pt x="2014361" y="183878"/>
                <a:pt x="1800141" y="252086"/>
                <a:pt x="2322933" y="223570"/>
              </a:cubicBezTo>
              <a:cubicBezTo>
                <a:pt x="2349609" y="222115"/>
                <a:pt x="2374336" y="208523"/>
                <a:pt x="2400688" y="204131"/>
              </a:cubicBezTo>
              <a:cubicBezTo>
                <a:pt x="2420127" y="200891"/>
                <a:pt x="2439886" y="199191"/>
                <a:pt x="2459005" y="194411"/>
              </a:cubicBezTo>
              <a:cubicBezTo>
                <a:pt x="2478883" y="189441"/>
                <a:pt x="2497882" y="181453"/>
                <a:pt x="2517321" y="174973"/>
              </a:cubicBezTo>
              <a:lnTo>
                <a:pt x="2663112" y="126376"/>
              </a:lnTo>
              <a:cubicBezTo>
                <a:pt x="2663119" y="126374"/>
                <a:pt x="2721420" y="106938"/>
                <a:pt x="2721428" y="106937"/>
              </a:cubicBezTo>
              <a:lnTo>
                <a:pt x="2779745" y="97218"/>
              </a:lnTo>
              <a:cubicBezTo>
                <a:pt x="2789464" y="93978"/>
                <a:pt x="2799947" y="92474"/>
                <a:pt x="2808903" y="87498"/>
              </a:cubicBezTo>
              <a:cubicBezTo>
                <a:pt x="2829325" y="76152"/>
                <a:pt x="2845056" y="56009"/>
                <a:pt x="2867219" y="48621"/>
              </a:cubicBezTo>
              <a:lnTo>
                <a:pt x="2925535" y="29182"/>
              </a:lnTo>
              <a:cubicBezTo>
                <a:pt x="2967005" y="-1920"/>
                <a:pt x="2948214" y="24"/>
                <a:pt x="2974132" y="24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2</xdr:col>
      <xdr:colOff>185557</xdr:colOff>
      <xdr:row>129</xdr:row>
      <xdr:rowOff>64587</xdr:rowOff>
    </xdr:from>
    <xdr:to>
      <xdr:col>6</xdr:col>
      <xdr:colOff>127240</xdr:colOff>
      <xdr:row>130</xdr:row>
      <xdr:rowOff>142366</xdr:rowOff>
    </xdr:to>
    <xdr:sp macro="" textlink="">
      <xdr:nvSpPr>
        <xdr:cNvPr id="138" name="Forma libre 137"/>
        <xdr:cNvSpPr/>
      </xdr:nvSpPr>
      <xdr:spPr>
        <a:xfrm>
          <a:off x="1068784" y="24457246"/>
          <a:ext cx="2989683" cy="268279"/>
        </a:xfrm>
        <a:custGeom>
          <a:avLst/>
          <a:gdLst>
            <a:gd name="connsiteX0" fmla="*/ 0 w 2974132"/>
            <a:gd name="connsiteY0" fmla="*/ 9743 h 272167"/>
            <a:gd name="connsiteX1" fmla="*/ 48597 w 2974132"/>
            <a:gd name="connsiteY1" fmla="*/ 19463 h 272167"/>
            <a:gd name="connsiteX2" fmla="*/ 106913 w 2974132"/>
            <a:gd name="connsiteY2" fmla="*/ 58340 h 272167"/>
            <a:gd name="connsiteX3" fmla="*/ 242984 w 2974132"/>
            <a:gd name="connsiteY3" fmla="*/ 116656 h 272167"/>
            <a:gd name="connsiteX4" fmla="*/ 330459 w 2974132"/>
            <a:gd name="connsiteY4" fmla="*/ 155534 h 272167"/>
            <a:gd name="connsiteX5" fmla="*/ 359617 w 2974132"/>
            <a:gd name="connsiteY5" fmla="*/ 165253 h 272167"/>
            <a:gd name="connsiteX6" fmla="*/ 388775 w 2974132"/>
            <a:gd name="connsiteY6" fmla="*/ 174973 h 272167"/>
            <a:gd name="connsiteX7" fmla="*/ 563724 w 2974132"/>
            <a:gd name="connsiteY7" fmla="*/ 184692 h 272167"/>
            <a:gd name="connsiteX8" fmla="*/ 660918 w 2974132"/>
            <a:gd name="connsiteY8" fmla="*/ 204131 h 272167"/>
            <a:gd name="connsiteX9" fmla="*/ 758112 w 2974132"/>
            <a:gd name="connsiteY9" fmla="*/ 223570 h 272167"/>
            <a:gd name="connsiteX10" fmla="*/ 787270 w 2974132"/>
            <a:gd name="connsiteY10" fmla="*/ 233289 h 272167"/>
            <a:gd name="connsiteX11" fmla="*/ 874745 w 2974132"/>
            <a:gd name="connsiteY11" fmla="*/ 243008 h 272167"/>
            <a:gd name="connsiteX12" fmla="*/ 903903 w 2974132"/>
            <a:gd name="connsiteY12" fmla="*/ 252728 h 272167"/>
            <a:gd name="connsiteX13" fmla="*/ 1156607 w 2974132"/>
            <a:gd name="connsiteY13" fmla="*/ 272167 h 272167"/>
            <a:gd name="connsiteX14" fmla="*/ 1574540 w 2974132"/>
            <a:gd name="connsiteY14" fmla="*/ 262447 h 272167"/>
            <a:gd name="connsiteX15" fmla="*/ 1691173 w 2974132"/>
            <a:gd name="connsiteY15" fmla="*/ 252728 h 272167"/>
            <a:gd name="connsiteX16" fmla="*/ 1836964 w 2974132"/>
            <a:gd name="connsiteY16" fmla="*/ 243008 h 272167"/>
            <a:gd name="connsiteX17" fmla="*/ 2322933 w 2974132"/>
            <a:gd name="connsiteY17" fmla="*/ 223570 h 272167"/>
            <a:gd name="connsiteX18" fmla="*/ 2400688 w 2974132"/>
            <a:gd name="connsiteY18" fmla="*/ 204131 h 272167"/>
            <a:gd name="connsiteX19" fmla="*/ 2459005 w 2974132"/>
            <a:gd name="connsiteY19" fmla="*/ 194411 h 272167"/>
            <a:gd name="connsiteX20" fmla="*/ 2517321 w 2974132"/>
            <a:gd name="connsiteY20" fmla="*/ 174973 h 272167"/>
            <a:gd name="connsiteX21" fmla="*/ 2663112 w 2974132"/>
            <a:gd name="connsiteY21" fmla="*/ 126376 h 272167"/>
            <a:gd name="connsiteX22" fmla="*/ 2721428 w 2974132"/>
            <a:gd name="connsiteY22" fmla="*/ 106937 h 272167"/>
            <a:gd name="connsiteX23" fmla="*/ 2779745 w 2974132"/>
            <a:gd name="connsiteY23" fmla="*/ 97218 h 272167"/>
            <a:gd name="connsiteX24" fmla="*/ 2808903 w 2974132"/>
            <a:gd name="connsiteY24" fmla="*/ 87498 h 272167"/>
            <a:gd name="connsiteX25" fmla="*/ 2867219 w 2974132"/>
            <a:gd name="connsiteY25" fmla="*/ 48621 h 272167"/>
            <a:gd name="connsiteX26" fmla="*/ 2925535 w 2974132"/>
            <a:gd name="connsiteY26" fmla="*/ 29182 h 272167"/>
            <a:gd name="connsiteX27" fmla="*/ 2974132 w 2974132"/>
            <a:gd name="connsiteY27" fmla="*/ 24 h 27216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</a:cxnLst>
          <a:rect l="l" t="t" r="r" b="b"/>
          <a:pathLst>
            <a:path w="2974132" h="272167">
              <a:moveTo>
                <a:pt x="0" y="9743"/>
              </a:moveTo>
              <a:cubicBezTo>
                <a:pt x="16199" y="12983"/>
                <a:pt x="33558" y="12627"/>
                <a:pt x="48597" y="19463"/>
              </a:cubicBezTo>
              <a:cubicBezTo>
                <a:pt x="69865" y="29130"/>
                <a:pt x="86551" y="46886"/>
                <a:pt x="106913" y="58340"/>
              </a:cubicBezTo>
              <a:cubicBezTo>
                <a:pt x="194227" y="107454"/>
                <a:pt x="177016" y="100164"/>
                <a:pt x="242984" y="116656"/>
              </a:cubicBezTo>
              <a:cubicBezTo>
                <a:pt x="289191" y="147461"/>
                <a:pt x="261061" y="132402"/>
                <a:pt x="330459" y="155534"/>
              </a:cubicBezTo>
              <a:lnTo>
                <a:pt x="359617" y="165253"/>
              </a:lnTo>
              <a:cubicBezTo>
                <a:pt x="369336" y="168493"/>
                <a:pt x="378546" y="174405"/>
                <a:pt x="388775" y="174973"/>
              </a:cubicBezTo>
              <a:lnTo>
                <a:pt x="563724" y="184692"/>
              </a:lnTo>
              <a:cubicBezTo>
                <a:pt x="622107" y="204152"/>
                <a:pt x="565988" y="187378"/>
                <a:pt x="660918" y="204131"/>
              </a:cubicBezTo>
              <a:cubicBezTo>
                <a:pt x="693455" y="209873"/>
                <a:pt x="726768" y="213122"/>
                <a:pt x="758112" y="223570"/>
              </a:cubicBezTo>
              <a:cubicBezTo>
                <a:pt x="767831" y="226810"/>
                <a:pt x="777164" y="231605"/>
                <a:pt x="787270" y="233289"/>
              </a:cubicBezTo>
              <a:cubicBezTo>
                <a:pt x="816209" y="238112"/>
                <a:pt x="845587" y="239768"/>
                <a:pt x="874745" y="243008"/>
              </a:cubicBezTo>
              <a:cubicBezTo>
                <a:pt x="884464" y="246248"/>
                <a:pt x="893857" y="250719"/>
                <a:pt x="903903" y="252728"/>
              </a:cubicBezTo>
              <a:cubicBezTo>
                <a:pt x="982911" y="268530"/>
                <a:pt x="1083732" y="268331"/>
                <a:pt x="1156607" y="272167"/>
              </a:cubicBezTo>
              <a:lnTo>
                <a:pt x="1574540" y="262447"/>
              </a:lnTo>
              <a:cubicBezTo>
                <a:pt x="1613527" y="261029"/>
                <a:pt x="1652267" y="255610"/>
                <a:pt x="1691173" y="252728"/>
              </a:cubicBezTo>
              <a:lnTo>
                <a:pt x="1836964" y="243008"/>
              </a:lnTo>
              <a:cubicBezTo>
                <a:pt x="2014361" y="183878"/>
                <a:pt x="1800141" y="252086"/>
                <a:pt x="2322933" y="223570"/>
              </a:cubicBezTo>
              <a:cubicBezTo>
                <a:pt x="2349609" y="222115"/>
                <a:pt x="2374336" y="208523"/>
                <a:pt x="2400688" y="204131"/>
              </a:cubicBezTo>
              <a:cubicBezTo>
                <a:pt x="2420127" y="200891"/>
                <a:pt x="2439886" y="199191"/>
                <a:pt x="2459005" y="194411"/>
              </a:cubicBezTo>
              <a:cubicBezTo>
                <a:pt x="2478883" y="189441"/>
                <a:pt x="2497882" y="181453"/>
                <a:pt x="2517321" y="174973"/>
              </a:cubicBezTo>
              <a:lnTo>
                <a:pt x="2663112" y="126376"/>
              </a:lnTo>
              <a:cubicBezTo>
                <a:pt x="2663119" y="126374"/>
                <a:pt x="2721420" y="106938"/>
                <a:pt x="2721428" y="106937"/>
              </a:cubicBezTo>
              <a:lnTo>
                <a:pt x="2779745" y="97218"/>
              </a:lnTo>
              <a:cubicBezTo>
                <a:pt x="2789464" y="93978"/>
                <a:pt x="2799947" y="92474"/>
                <a:pt x="2808903" y="87498"/>
              </a:cubicBezTo>
              <a:cubicBezTo>
                <a:pt x="2829325" y="76152"/>
                <a:pt x="2845056" y="56009"/>
                <a:pt x="2867219" y="48621"/>
              </a:cubicBezTo>
              <a:lnTo>
                <a:pt x="2925535" y="29182"/>
              </a:lnTo>
              <a:cubicBezTo>
                <a:pt x="2967005" y="-1920"/>
                <a:pt x="2948214" y="24"/>
                <a:pt x="2974132" y="24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2</xdr:col>
      <xdr:colOff>695325</xdr:colOff>
      <xdr:row>66</xdr:row>
      <xdr:rowOff>114300</xdr:rowOff>
    </xdr:from>
    <xdr:to>
      <xdr:col>2</xdr:col>
      <xdr:colOff>695325</xdr:colOff>
      <xdr:row>74</xdr:row>
      <xdr:rowOff>133350</xdr:rowOff>
    </xdr:to>
    <xdr:cxnSp macro="">
      <xdr:nvCxnSpPr>
        <xdr:cNvPr id="156" name="Conector recto de flecha 155"/>
        <xdr:cNvCxnSpPr/>
      </xdr:nvCxnSpPr>
      <xdr:spPr>
        <a:xfrm>
          <a:off x="1581150" y="12782550"/>
          <a:ext cx="0" cy="1543050"/>
        </a:xfrm>
        <a:prstGeom prst="straightConnector1">
          <a:avLst/>
        </a:prstGeom>
        <a:ln w="12700">
          <a:solidFill>
            <a:srgbClr val="7030A0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714375</xdr:colOff>
      <xdr:row>66</xdr:row>
      <xdr:rowOff>114300</xdr:rowOff>
    </xdr:from>
    <xdr:to>
      <xdr:col>3</xdr:col>
      <xdr:colOff>723901</xdr:colOff>
      <xdr:row>74</xdr:row>
      <xdr:rowOff>104775</xdr:rowOff>
    </xdr:to>
    <xdr:cxnSp macro="">
      <xdr:nvCxnSpPr>
        <xdr:cNvPr id="157" name="Conector recto de flecha 156"/>
        <xdr:cNvCxnSpPr/>
      </xdr:nvCxnSpPr>
      <xdr:spPr>
        <a:xfrm>
          <a:off x="2362200" y="12782550"/>
          <a:ext cx="9526" cy="1514475"/>
        </a:xfrm>
        <a:prstGeom prst="straightConnector1">
          <a:avLst/>
        </a:prstGeom>
        <a:ln w="12700">
          <a:solidFill>
            <a:srgbClr val="7030A0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192638</xdr:colOff>
      <xdr:row>93</xdr:row>
      <xdr:rowOff>67841</xdr:rowOff>
    </xdr:from>
    <xdr:ext cx="623248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8" name="CuadroTexto 157"/>
            <xdr:cNvSpPr txBox="1"/>
          </xdr:nvSpPr>
          <xdr:spPr>
            <a:xfrm>
              <a:off x="1840463" y="17165216"/>
              <a:ext cx="62324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PE" sz="1100" b="0" i="1">
                        <a:latin typeface="Cambria Math" panose="02040503050406030204" pitchFamily="18" charset="0"/>
                      </a:rPr>
                      <m:t>𝑉𝑢𝑐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&gt;</m:t>
                    </m:r>
                    <m:r>
                      <a:rPr lang="es-PE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𝑉𝑣</m:t>
                    </m:r>
                  </m:oMath>
                </m:oMathPara>
              </a14:m>
              <a:endParaRPr lang="es-PE" sz="1100"/>
            </a:p>
          </xdr:txBody>
        </xdr:sp>
      </mc:Choice>
      <mc:Fallback xmlns="">
        <xdr:sp macro="" textlink="">
          <xdr:nvSpPr>
            <xdr:cNvPr id="158" name="CuadroTexto 157"/>
            <xdr:cNvSpPr txBox="1"/>
          </xdr:nvSpPr>
          <xdr:spPr>
            <a:xfrm>
              <a:off x="1840463" y="17165216"/>
              <a:ext cx="62324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PE" sz="1100" b="0" i="0">
                  <a:latin typeface="Cambria Math" panose="02040503050406030204" pitchFamily="18" charset="0"/>
                </a:rPr>
                <a:t>𝑉𝑢𝑐</a:t>
              </a:r>
              <a:r>
                <a:rPr lang="es-PE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&gt;𝑉𝑣</a:t>
              </a:r>
              <a:endParaRPr lang="es-PE" sz="1100"/>
            </a:p>
          </xdr:txBody>
        </xdr:sp>
      </mc:Fallback>
    </mc:AlternateContent>
    <xdr:clientData/>
  </xdr:oneCellAnchor>
  <xdr:twoCellAnchor>
    <xdr:from>
      <xdr:col>2</xdr:col>
      <xdr:colOff>114302</xdr:colOff>
      <xdr:row>67</xdr:row>
      <xdr:rowOff>85727</xdr:rowOff>
    </xdr:from>
    <xdr:to>
      <xdr:col>2</xdr:col>
      <xdr:colOff>133350</xdr:colOff>
      <xdr:row>81</xdr:row>
      <xdr:rowOff>104775</xdr:rowOff>
    </xdr:to>
    <xdr:cxnSp macro="">
      <xdr:nvCxnSpPr>
        <xdr:cNvPr id="17" name="Conector recto de flecha 16"/>
        <xdr:cNvCxnSpPr/>
      </xdr:nvCxnSpPr>
      <xdr:spPr>
        <a:xfrm flipH="1" flipV="1">
          <a:off x="1000127" y="12944477"/>
          <a:ext cx="19048" cy="2686048"/>
        </a:xfrm>
        <a:prstGeom prst="straightConnector1">
          <a:avLst/>
        </a:prstGeom>
        <a:ln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114301</xdr:colOff>
      <xdr:row>67</xdr:row>
      <xdr:rowOff>95251</xdr:rowOff>
    </xdr:from>
    <xdr:to>
      <xdr:col>3</xdr:col>
      <xdr:colOff>133350</xdr:colOff>
      <xdr:row>81</xdr:row>
      <xdr:rowOff>133350</xdr:rowOff>
    </xdr:to>
    <xdr:cxnSp macro="">
      <xdr:nvCxnSpPr>
        <xdr:cNvPr id="130" name="Conector recto de flecha 129"/>
        <xdr:cNvCxnSpPr/>
      </xdr:nvCxnSpPr>
      <xdr:spPr>
        <a:xfrm flipH="1" flipV="1">
          <a:off x="1762126" y="12954001"/>
          <a:ext cx="19049" cy="2705099"/>
        </a:xfrm>
        <a:prstGeom prst="straightConnector1">
          <a:avLst/>
        </a:prstGeom>
        <a:ln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666750</xdr:colOff>
      <xdr:row>80</xdr:row>
      <xdr:rowOff>161925</xdr:rowOff>
    </xdr:from>
    <xdr:to>
      <xdr:col>6</xdr:col>
      <xdr:colOff>57150</xdr:colOff>
      <xdr:row>85</xdr:row>
      <xdr:rowOff>123825</xdr:rowOff>
    </xdr:to>
    <xdr:cxnSp macro="">
      <xdr:nvCxnSpPr>
        <xdr:cNvPr id="47" name="Conector recto de flecha 46"/>
        <xdr:cNvCxnSpPr/>
      </xdr:nvCxnSpPr>
      <xdr:spPr>
        <a:xfrm>
          <a:off x="3076575" y="14925675"/>
          <a:ext cx="914400" cy="914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75</xdr:row>
      <xdr:rowOff>47624</xdr:rowOff>
    </xdr:from>
    <xdr:to>
      <xdr:col>12</xdr:col>
      <xdr:colOff>247650</xdr:colOff>
      <xdr:row>82</xdr:row>
      <xdr:rowOff>152399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979" t="59693" b="13425"/>
        <a:stretch/>
      </xdr:blipFill>
      <xdr:spPr>
        <a:xfrm>
          <a:off x="4191000" y="14449424"/>
          <a:ext cx="5276850" cy="143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13"/>
  <sheetViews>
    <sheetView tabSelected="1" zoomScaleNormal="100" workbookViewId="0">
      <selection activeCell="B1" sqref="B1:J2"/>
    </sheetView>
  </sheetViews>
  <sheetFormatPr baseColWidth="10" defaultRowHeight="14.4" x14ac:dyDescent="0.3"/>
  <cols>
    <col min="1" max="1" width="1.88671875" customWidth="1"/>
  </cols>
  <sheetData>
    <row r="1" spans="1:12" ht="15" customHeight="1" x14ac:dyDescent="0.5">
      <c r="B1" s="186" t="s">
        <v>0</v>
      </c>
      <c r="C1" s="186"/>
      <c r="D1" s="186"/>
      <c r="E1" s="186"/>
      <c r="F1" s="186"/>
      <c r="G1" s="186"/>
      <c r="H1" s="186"/>
      <c r="I1" s="186"/>
      <c r="J1" s="186"/>
      <c r="K1" s="14"/>
    </row>
    <row r="2" spans="1:12" ht="15" customHeight="1" x14ac:dyDescent="0.5">
      <c r="B2" s="186"/>
      <c r="C2" s="186"/>
      <c r="D2" s="186"/>
      <c r="E2" s="186"/>
      <c r="F2" s="186"/>
      <c r="G2" s="186"/>
      <c r="H2" s="186"/>
      <c r="I2" s="186"/>
      <c r="J2" s="186"/>
      <c r="K2" s="14"/>
    </row>
    <row r="3" spans="1:12" ht="15" customHeight="1" x14ac:dyDescent="0.5">
      <c r="B3" s="171"/>
      <c r="C3" s="171"/>
      <c r="D3" s="171"/>
      <c r="E3" s="171"/>
      <c r="F3" s="171"/>
      <c r="G3" s="171"/>
      <c r="H3" s="171"/>
      <c r="I3" s="171"/>
      <c r="J3" s="171"/>
      <c r="K3" s="14"/>
    </row>
    <row r="4" spans="1:12" ht="11.25" customHeight="1" thickBot="1" x14ac:dyDescent="0.55000000000000004">
      <c r="B4" s="141"/>
      <c r="C4" s="141"/>
      <c r="D4" s="141"/>
      <c r="E4" s="141"/>
      <c r="F4" s="141"/>
      <c r="G4" s="141"/>
      <c r="H4" s="141"/>
      <c r="I4" s="141"/>
      <c r="J4" s="141"/>
      <c r="K4" s="14"/>
    </row>
    <row r="5" spans="1:12" ht="15" customHeight="1" thickBot="1" x14ac:dyDescent="0.55000000000000004">
      <c r="B5" s="141"/>
      <c r="C5" s="57" t="s">
        <v>110</v>
      </c>
      <c r="D5" s="142"/>
      <c r="E5" s="57"/>
      <c r="F5" s="141"/>
      <c r="G5" s="141"/>
      <c r="H5" s="141"/>
      <c r="I5" s="141"/>
      <c r="J5" s="141"/>
      <c r="K5" s="14"/>
    </row>
    <row r="6" spans="1:12" ht="15" customHeight="1" thickBot="1" x14ac:dyDescent="0.55000000000000004">
      <c r="B6" s="141"/>
      <c r="C6" s="57" t="s">
        <v>111</v>
      </c>
      <c r="D6" s="143"/>
      <c r="E6" s="57"/>
      <c r="F6" s="141"/>
      <c r="G6" s="141"/>
      <c r="H6" s="141"/>
      <c r="I6" s="141"/>
      <c r="J6" s="141"/>
      <c r="K6" s="14"/>
    </row>
    <row r="7" spans="1:12" ht="21" x14ac:dyDescent="0.4">
      <c r="A7" s="16"/>
      <c r="B7" s="20" t="s">
        <v>18</v>
      </c>
      <c r="C7" s="17"/>
      <c r="D7" s="16"/>
      <c r="L7" s="16"/>
    </row>
    <row r="8" spans="1:12" x14ac:dyDescent="0.3">
      <c r="B8" s="18" t="s">
        <v>19</v>
      </c>
      <c r="C8" s="6">
        <v>1000</v>
      </c>
      <c r="D8" s="129" t="s">
        <v>17</v>
      </c>
      <c r="I8" s="11" t="s">
        <v>27</v>
      </c>
      <c r="J8" s="19">
        <f>C16</f>
        <v>0.15</v>
      </c>
      <c r="K8" t="s">
        <v>12</v>
      </c>
      <c r="L8" s="16"/>
    </row>
    <row r="9" spans="1:12" x14ac:dyDescent="0.3">
      <c r="B9" s="18" t="s">
        <v>1</v>
      </c>
      <c r="C9" s="6">
        <v>210</v>
      </c>
      <c r="D9" s="129" t="s">
        <v>16</v>
      </c>
      <c r="K9" s="16"/>
      <c r="L9" s="16"/>
    </row>
    <row r="10" spans="1:12" x14ac:dyDescent="0.3">
      <c r="B10" s="18" t="s">
        <v>2</v>
      </c>
      <c r="C10" s="6">
        <v>4200</v>
      </c>
      <c r="D10" s="129" t="s">
        <v>16</v>
      </c>
      <c r="K10" s="16"/>
      <c r="L10" s="16"/>
    </row>
    <row r="11" spans="1:12" x14ac:dyDescent="0.3">
      <c r="B11" s="18" t="s">
        <v>3</v>
      </c>
      <c r="C11" s="6">
        <v>1000</v>
      </c>
      <c r="D11" s="129" t="s">
        <v>16</v>
      </c>
      <c r="I11" s="11" t="s">
        <v>28</v>
      </c>
      <c r="J11" s="19">
        <f>C17</f>
        <v>0.3</v>
      </c>
      <c r="K11" t="s">
        <v>12</v>
      </c>
    </row>
    <row r="12" spans="1:12" x14ac:dyDescent="0.3">
      <c r="B12" s="18" t="s">
        <v>4</v>
      </c>
      <c r="C12" s="6">
        <v>1.8</v>
      </c>
      <c r="D12" s="129" t="s">
        <v>16</v>
      </c>
      <c r="K12" s="16"/>
      <c r="L12" s="16"/>
    </row>
    <row r="13" spans="1:12" x14ac:dyDescent="0.3">
      <c r="B13" s="18" t="s">
        <v>20</v>
      </c>
      <c r="C13" s="6">
        <v>100</v>
      </c>
      <c r="D13" s="129" t="s">
        <v>7</v>
      </c>
      <c r="K13" s="16"/>
      <c r="L13" s="16"/>
    </row>
    <row r="14" spans="1:12" x14ac:dyDescent="0.3">
      <c r="B14" s="18" t="s">
        <v>88</v>
      </c>
      <c r="C14" s="6">
        <v>3</v>
      </c>
      <c r="D14" s="129" t="s">
        <v>7</v>
      </c>
      <c r="K14" s="16"/>
      <c r="L14" s="16"/>
    </row>
    <row r="15" spans="1:12" x14ac:dyDescent="0.3">
      <c r="B15" s="18" t="s">
        <v>87</v>
      </c>
      <c r="C15" s="6">
        <v>60</v>
      </c>
      <c r="D15" s="129" t="s">
        <v>11</v>
      </c>
      <c r="K15" s="16"/>
      <c r="L15" s="16"/>
    </row>
    <row r="16" spans="1:12" x14ac:dyDescent="0.3">
      <c r="B16" s="18" t="s">
        <v>21</v>
      </c>
      <c r="C16" s="6">
        <v>0.15</v>
      </c>
      <c r="D16" s="129" t="s">
        <v>12</v>
      </c>
      <c r="K16" s="16"/>
      <c r="L16" s="16"/>
    </row>
    <row r="17" spans="2:12" x14ac:dyDescent="0.3">
      <c r="B17" s="18" t="s">
        <v>22</v>
      </c>
      <c r="C17" s="6">
        <v>0.3</v>
      </c>
      <c r="D17" s="129" t="s">
        <v>12</v>
      </c>
      <c r="E17" s="182"/>
      <c r="F17" s="182"/>
      <c r="I17" s="11" t="s">
        <v>29</v>
      </c>
      <c r="J17" s="19">
        <f>C18</f>
        <v>3</v>
      </c>
      <c r="K17" t="s">
        <v>12</v>
      </c>
      <c r="L17" s="16"/>
    </row>
    <row r="18" spans="2:12" x14ac:dyDescent="0.3">
      <c r="B18" s="18" t="s">
        <v>23</v>
      </c>
      <c r="C18" s="6">
        <v>3</v>
      </c>
      <c r="D18" s="129" t="s">
        <v>12</v>
      </c>
    </row>
    <row r="19" spans="2:12" x14ac:dyDescent="0.3">
      <c r="B19" s="18" t="s">
        <v>89</v>
      </c>
      <c r="C19" s="6">
        <v>0.85</v>
      </c>
      <c r="D19" s="129"/>
    </row>
    <row r="20" spans="2:12" ht="21" x14ac:dyDescent="0.4">
      <c r="B20" s="20" t="s">
        <v>24</v>
      </c>
      <c r="C20" s="17"/>
      <c r="D20" s="21"/>
    </row>
    <row r="21" spans="2:12" x14ac:dyDescent="0.3">
      <c r="B21" s="18" t="s">
        <v>26</v>
      </c>
      <c r="C21" s="2">
        <f>J17+J11</f>
        <v>3.3</v>
      </c>
      <c r="D21" s="129" t="s">
        <v>12</v>
      </c>
    </row>
    <row r="22" spans="2:12" x14ac:dyDescent="0.3">
      <c r="B22" s="18" t="s">
        <v>25</v>
      </c>
      <c r="C22" s="9">
        <f>(C15/(PI()*C18))^0.5</f>
        <v>2.5231325220201604</v>
      </c>
      <c r="D22" s="129" t="s">
        <v>12</v>
      </c>
    </row>
    <row r="23" spans="2:12" x14ac:dyDescent="0.3">
      <c r="B23" s="126"/>
      <c r="C23" s="126"/>
      <c r="D23" s="126"/>
    </row>
    <row r="24" spans="2:12" x14ac:dyDescent="0.3">
      <c r="F24" s="11" t="s">
        <v>114</v>
      </c>
      <c r="G24" s="45">
        <f>C22*2</f>
        <v>5.0462650440403207</v>
      </c>
      <c r="H24" t="s">
        <v>12</v>
      </c>
      <c r="I24" s="5"/>
    </row>
    <row r="25" spans="2:12" x14ac:dyDescent="0.3">
      <c r="G25" s="83"/>
    </row>
    <row r="26" spans="2:12" ht="21" x14ac:dyDescent="0.4">
      <c r="B26" s="20" t="s">
        <v>30</v>
      </c>
      <c r="C26" s="15"/>
      <c r="D26" s="15"/>
      <c r="E26" s="15"/>
      <c r="F26" s="15"/>
      <c r="G26" s="15"/>
      <c r="H26" s="15"/>
      <c r="I26" s="15"/>
    </row>
    <row r="27" spans="2:12" x14ac:dyDescent="0.3">
      <c r="B27" s="21" t="s">
        <v>31</v>
      </c>
      <c r="C27" s="57"/>
      <c r="D27" s="22"/>
      <c r="E27" s="4"/>
      <c r="F27" s="4"/>
      <c r="G27" t="s">
        <v>79</v>
      </c>
      <c r="H27" s="4"/>
      <c r="I27" s="4"/>
    </row>
    <row r="28" spans="2:12" x14ac:dyDescent="0.3">
      <c r="G28" s="43"/>
      <c r="H28" s="138" t="s">
        <v>107</v>
      </c>
      <c r="I28" s="138" t="s">
        <v>108</v>
      </c>
      <c r="J28" s="139" t="s">
        <v>113</v>
      </c>
    </row>
    <row r="29" spans="2:12" x14ac:dyDescent="0.3">
      <c r="B29" s="18" t="s">
        <v>95</v>
      </c>
      <c r="C29" s="10">
        <f>C21^2/(G24*C16)</f>
        <v>14.386878090309818</v>
      </c>
      <c r="G29" s="137">
        <v>0</v>
      </c>
      <c r="H29" s="133">
        <f>VLOOKUP($C$30,TABLA!$B$20:$L$37,2,FALSE)</f>
        <v>2E-3</v>
      </c>
      <c r="I29" s="136">
        <f t="shared" ref="I29:I38" si="0">G29*$C$21</f>
        <v>0</v>
      </c>
      <c r="J29" s="9">
        <f t="shared" ref="J29:J38" si="1">H29*$C$8*$C$21*$C$22</f>
        <v>16.652674645333057</v>
      </c>
    </row>
    <row r="30" spans="2:12" x14ac:dyDescent="0.3">
      <c r="B30" s="18" t="s">
        <v>95</v>
      </c>
      <c r="C30" s="24">
        <v>14</v>
      </c>
      <c r="G30" s="137">
        <v>0.1</v>
      </c>
      <c r="H30" s="133">
        <f>VLOOKUP($C$30,TABLA!$B$20:$L$37,3,FALSE)</f>
        <v>9.8000000000000004E-2</v>
      </c>
      <c r="I30" s="136">
        <f t="shared" si="0"/>
        <v>0.33</v>
      </c>
      <c r="J30" s="9">
        <f t="shared" si="1"/>
        <v>815.98105762131979</v>
      </c>
    </row>
    <row r="31" spans="2:12" x14ac:dyDescent="0.3">
      <c r="B31" s="18" t="s">
        <v>96</v>
      </c>
      <c r="C31" s="166">
        <f>MAX(H29:H38)</f>
        <v>0.66600000000000004</v>
      </c>
      <c r="G31" s="137">
        <v>0.2</v>
      </c>
      <c r="H31" s="133">
        <f>VLOOKUP($C$30,TABLA!$B$20:$L$37,4,FALSE)</f>
        <v>0.2</v>
      </c>
      <c r="I31" s="136">
        <f t="shared" si="0"/>
        <v>0.66</v>
      </c>
      <c r="J31" s="9">
        <f t="shared" si="1"/>
        <v>1665.2674645333059</v>
      </c>
    </row>
    <row r="32" spans="2:12" x14ac:dyDescent="0.3">
      <c r="B32" s="125" t="s">
        <v>97</v>
      </c>
      <c r="C32" s="43">
        <f>C31*C8*C21*C22</f>
        <v>5545.3406568959081</v>
      </c>
      <c r="D32" s="129" t="s">
        <v>15</v>
      </c>
      <c r="E32" s="5"/>
      <c r="F32" s="5"/>
      <c r="G32" s="137">
        <v>0.3</v>
      </c>
      <c r="H32" s="133">
        <f>VLOOKUP($C$30,TABLA!$B$20:$L$37,5,FALSE)</f>
        <v>0.30599999999999999</v>
      </c>
      <c r="I32" s="136">
        <f t="shared" si="0"/>
        <v>0.98999999999999988</v>
      </c>
      <c r="J32" s="9">
        <f t="shared" si="1"/>
        <v>2547.8592207359579</v>
      </c>
    </row>
    <row r="33" spans="1:10" x14ac:dyDescent="0.3">
      <c r="D33" s="129"/>
      <c r="E33" s="5"/>
      <c r="F33" s="5"/>
      <c r="G33" s="137">
        <v>0.4</v>
      </c>
      <c r="H33" s="133">
        <f>VLOOKUP($C$30,TABLA!$B$20:$L$37,6,FALSE)</f>
        <v>0.42</v>
      </c>
      <c r="I33" s="136">
        <f t="shared" si="0"/>
        <v>1.32</v>
      </c>
      <c r="J33" s="9">
        <f t="shared" si="1"/>
        <v>3497.0616755199421</v>
      </c>
    </row>
    <row r="34" spans="1:10" x14ac:dyDescent="0.3">
      <c r="G34" s="137">
        <v>0.5</v>
      </c>
      <c r="H34" s="133">
        <f>VLOOKUP($C$30,TABLA!$B$20:$L$37,7,FALSE)</f>
        <v>0.53900000000000003</v>
      </c>
      <c r="I34" s="136">
        <f t="shared" si="0"/>
        <v>1.65</v>
      </c>
      <c r="J34" s="9">
        <f t="shared" si="1"/>
        <v>4487.8958169172583</v>
      </c>
    </row>
    <row r="35" spans="1:10" x14ac:dyDescent="0.3">
      <c r="D35" s="42" t="s">
        <v>14</v>
      </c>
      <c r="G35" s="137">
        <v>0.6</v>
      </c>
      <c r="H35" s="133">
        <f>VLOOKUP($C$30,TABLA!$B$20:$L$37,8,FALSE)</f>
        <v>0.63900000000000001</v>
      </c>
      <c r="I35" s="136">
        <f t="shared" si="0"/>
        <v>1.9799999999999998</v>
      </c>
      <c r="J35" s="9">
        <f t="shared" si="1"/>
        <v>5320.5295491839115</v>
      </c>
    </row>
    <row r="36" spans="1:10" x14ac:dyDescent="0.3">
      <c r="D36" s="8" t="s">
        <v>13</v>
      </c>
      <c r="G36" s="137">
        <v>0.7</v>
      </c>
      <c r="H36" s="133">
        <f>VLOOKUP($C$30,TABLA!$B$20:$L$37,9,FALSE)</f>
        <v>0.66600000000000004</v>
      </c>
      <c r="I36" s="136">
        <f t="shared" si="0"/>
        <v>2.3099999999999996</v>
      </c>
      <c r="J36" s="9">
        <f t="shared" si="1"/>
        <v>5545.3406568959081</v>
      </c>
    </row>
    <row r="37" spans="1:10" x14ac:dyDescent="0.3">
      <c r="G37" s="137">
        <v>0.8</v>
      </c>
      <c r="H37" s="133">
        <f>VLOOKUP($C$30,TABLA!$B$20:$L$37,10,FALSE)</f>
        <v>0.54100000000000004</v>
      </c>
      <c r="I37" s="136">
        <f t="shared" si="0"/>
        <v>2.64</v>
      </c>
      <c r="J37" s="9">
        <f t="shared" si="1"/>
        <v>4504.5484915625921</v>
      </c>
    </row>
    <row r="38" spans="1:10" x14ac:dyDescent="0.3">
      <c r="B38" s="16"/>
      <c r="C38" s="16"/>
      <c r="D38" s="5"/>
      <c r="E38" s="7"/>
      <c r="F38" s="16"/>
      <c r="G38" s="137">
        <v>0.9</v>
      </c>
      <c r="H38" s="133">
        <f>VLOOKUP($C$30,TABLA!$B$20:$L$37,11,FALSE)</f>
        <v>0.24099999999999999</v>
      </c>
      <c r="I38" s="136">
        <f t="shared" si="0"/>
        <v>2.9699999999999998</v>
      </c>
      <c r="J38" s="9">
        <f t="shared" si="1"/>
        <v>2006.6472947626335</v>
      </c>
    </row>
    <row r="39" spans="1:10" x14ac:dyDescent="0.3">
      <c r="D39" s="5"/>
      <c r="E39" s="7"/>
      <c r="F39" s="16"/>
      <c r="G39" s="16"/>
      <c r="H39" s="7"/>
    </row>
    <row r="40" spans="1:10" x14ac:dyDescent="0.3">
      <c r="B40" s="23"/>
      <c r="C40" s="16"/>
      <c r="D40" s="5"/>
      <c r="E40" s="7"/>
      <c r="F40" s="16"/>
      <c r="G40" s="16"/>
    </row>
    <row r="41" spans="1:10" x14ac:dyDescent="0.3">
      <c r="B41" s="44" t="s">
        <v>62</v>
      </c>
      <c r="E41" s="16"/>
      <c r="F41" s="16"/>
      <c r="G41" s="16"/>
      <c r="H41" s="7"/>
    </row>
    <row r="42" spans="1:10" x14ac:dyDescent="0.3">
      <c r="B42" s="125" t="s">
        <v>94</v>
      </c>
      <c r="C42" s="10">
        <f>C32/C11</f>
        <v>5.5453406568959078</v>
      </c>
      <c r="D42" s="129" t="s">
        <v>8</v>
      </c>
      <c r="E42" s="16"/>
      <c r="F42" s="16"/>
      <c r="G42" s="16"/>
      <c r="H42" s="7"/>
    </row>
    <row r="43" spans="1:10" x14ac:dyDescent="0.3">
      <c r="B43" s="125" t="s">
        <v>98</v>
      </c>
      <c r="C43" s="13">
        <f>0.0025*C13*C16*100</f>
        <v>3.75</v>
      </c>
      <c r="D43" s="129" t="s">
        <v>8</v>
      </c>
      <c r="E43" s="132"/>
      <c r="F43" s="132"/>
      <c r="G43" s="16"/>
    </row>
    <row r="44" spans="1:10" x14ac:dyDescent="0.3">
      <c r="A44" s="46"/>
      <c r="B44" s="16"/>
      <c r="C44" s="16"/>
      <c r="D44" s="16"/>
      <c r="E44" s="16"/>
      <c r="F44" s="46"/>
    </row>
    <row r="45" spans="1:10" x14ac:dyDescent="0.3">
      <c r="A45" s="46"/>
      <c r="B45" s="21" t="s">
        <v>5</v>
      </c>
      <c r="C45" s="21"/>
      <c r="D45" s="21"/>
      <c r="E45" s="21"/>
      <c r="F45" s="21"/>
      <c r="G45" s="16"/>
    </row>
    <row r="46" spans="1:10" x14ac:dyDescent="0.3">
      <c r="B46" s="50">
        <v>3</v>
      </c>
      <c r="C46" s="43">
        <f>VLOOKUP(B46,TABLA!B4:F15,5,FALSE)</f>
        <v>0.7097</v>
      </c>
      <c r="D46" s="129" t="s">
        <v>9</v>
      </c>
      <c r="E46" s="5"/>
      <c r="H46" s="11"/>
    </row>
    <row r="47" spans="1:10" x14ac:dyDescent="0.3">
      <c r="B47" s="124" t="s">
        <v>99</v>
      </c>
      <c r="C47" s="9">
        <f>C13*C46/C42</f>
        <v>12.798131691286677</v>
      </c>
      <c r="D47" s="129" t="s">
        <v>7</v>
      </c>
      <c r="E47" s="5"/>
    </row>
    <row r="48" spans="1:10" ht="15" thickBot="1" x14ac:dyDescent="0.35">
      <c r="B48" s="53" t="str">
        <f>VLOOKUP(B46,TABLA!B4:F15,2,FALSE)</f>
        <v>3/8"</v>
      </c>
      <c r="C48" s="54">
        <f>ROUND(C47,2)</f>
        <v>12.8</v>
      </c>
      <c r="D48" s="129" t="s">
        <v>7</v>
      </c>
      <c r="E48" s="5"/>
      <c r="F48" s="128"/>
    </row>
    <row r="49" spans="1:11" x14ac:dyDescent="0.3">
      <c r="B49" s="55">
        <v>4</v>
      </c>
      <c r="C49" s="76">
        <f>VLOOKUP(B49,TABLA!B4:F15,5,FALSE)</f>
        <v>1.29</v>
      </c>
      <c r="D49" s="129" t="s">
        <v>9</v>
      </c>
      <c r="E49" s="82"/>
      <c r="G49" s="1"/>
    </row>
    <row r="50" spans="1:11" x14ac:dyDescent="0.3">
      <c r="B50" s="124" t="s">
        <v>99</v>
      </c>
      <c r="C50" s="9">
        <f>C13*C49/C42</f>
        <v>23.262772836071317</v>
      </c>
      <c r="D50" s="129" t="s">
        <v>7</v>
      </c>
      <c r="E50" s="5"/>
    </row>
    <row r="51" spans="1:11" ht="15" thickBot="1" x14ac:dyDescent="0.35">
      <c r="B51" s="53" t="str">
        <f>VLOOKUP(B49,TABLA!B4:F15,2,FALSE)</f>
        <v>1/2"</v>
      </c>
      <c r="C51" s="54">
        <f>ROUND(C50,2)</f>
        <v>23.26</v>
      </c>
      <c r="D51" s="129" t="s">
        <v>7</v>
      </c>
      <c r="E51" s="5"/>
    </row>
    <row r="52" spans="1:11" x14ac:dyDescent="0.3">
      <c r="B52" s="23"/>
      <c r="C52" s="52"/>
      <c r="D52" s="16"/>
      <c r="E52" s="51"/>
    </row>
    <row r="53" spans="1:11" x14ac:dyDescent="0.3">
      <c r="B53" s="21" t="s">
        <v>10</v>
      </c>
      <c r="C53" s="21"/>
      <c r="D53" s="21"/>
      <c r="E53" s="21"/>
      <c r="F53" s="21"/>
    </row>
    <row r="54" spans="1:11" x14ac:dyDescent="0.3">
      <c r="B54" s="50">
        <v>4</v>
      </c>
      <c r="C54" s="43">
        <f>VLOOKUP(B54,TABLA!B4:F15,5,FALSE)</f>
        <v>1.29</v>
      </c>
      <c r="D54" s="129" t="s">
        <v>9</v>
      </c>
      <c r="F54" s="56"/>
      <c r="G54" s="56"/>
    </row>
    <row r="55" spans="1:11" x14ac:dyDescent="0.3">
      <c r="B55" s="124" t="s">
        <v>99</v>
      </c>
      <c r="C55" s="12">
        <f>C54*C13/C43</f>
        <v>34.4</v>
      </c>
      <c r="D55" s="129" t="s">
        <v>7</v>
      </c>
    </row>
    <row r="56" spans="1:11" ht="15" thickBot="1" x14ac:dyDescent="0.35">
      <c r="B56" s="53" t="str">
        <f>VLOOKUP(B54,TABLA!B4:F15,2,FALSE)</f>
        <v>1/2"</v>
      </c>
      <c r="C56" s="54">
        <f>C55</f>
        <v>34.4</v>
      </c>
      <c r="D56" s="129" t="s">
        <v>7</v>
      </c>
    </row>
    <row r="58" spans="1:11" ht="21" x14ac:dyDescent="0.4">
      <c r="A58" s="5"/>
      <c r="B58" s="21" t="s">
        <v>63</v>
      </c>
      <c r="C58" s="15"/>
      <c r="D58" s="15"/>
      <c r="E58" s="15"/>
      <c r="F58" s="15"/>
      <c r="G58" t="s">
        <v>79</v>
      </c>
      <c r="H58" s="15"/>
      <c r="I58" s="15"/>
      <c r="J58" s="15"/>
    </row>
    <row r="59" spans="1:11" x14ac:dyDescent="0.3">
      <c r="G59" s="43"/>
      <c r="H59" s="139" t="s">
        <v>107</v>
      </c>
      <c r="I59" s="139" t="s">
        <v>108</v>
      </c>
      <c r="J59" s="139" t="s">
        <v>112</v>
      </c>
    </row>
    <row r="60" spans="1:11" x14ac:dyDescent="0.3">
      <c r="B60" s="139" t="s">
        <v>64</v>
      </c>
      <c r="C60" s="162" t="s">
        <v>68</v>
      </c>
      <c r="D60" s="162" t="s">
        <v>69</v>
      </c>
      <c r="G60" s="137">
        <v>0.1</v>
      </c>
      <c r="H60" s="81">
        <f>VLOOKUP($B$61,TABLA!B42:L59,2,FALSE)</f>
        <v>0</v>
      </c>
      <c r="I60" s="43">
        <f t="shared" ref="I60:I69" si="2">G60*$C$21</f>
        <v>0.33</v>
      </c>
      <c r="J60" s="9">
        <f t="shared" ref="J60:J69" si="3">H60*$C$8*$C$21^3</f>
        <v>0</v>
      </c>
    </row>
    <row r="61" spans="1:11" x14ac:dyDescent="0.3">
      <c r="B61" s="10">
        <f>C30</f>
        <v>14</v>
      </c>
      <c r="C61" s="81">
        <f>MAX(H60:H69)</f>
        <v>2.3E-3</v>
      </c>
      <c r="D61" s="81">
        <f>MIN(H60:H69)</f>
        <v>-8.9999999999999993E-3</v>
      </c>
      <c r="G61" s="137">
        <v>0.2</v>
      </c>
      <c r="H61" s="81">
        <f>VLOOKUP($B$61,TABLA!B42:L59,3,FALSE)</f>
        <v>0</v>
      </c>
      <c r="I61" s="43">
        <f t="shared" si="2"/>
        <v>0.66</v>
      </c>
      <c r="J61" s="9">
        <f t="shared" si="3"/>
        <v>0</v>
      </c>
    </row>
    <row r="62" spans="1:11" x14ac:dyDescent="0.3">
      <c r="B62" s="130" t="s">
        <v>90</v>
      </c>
      <c r="C62" s="43">
        <f>C61*C8*C21^3</f>
        <v>82.65509999999999</v>
      </c>
      <c r="D62" s="43">
        <f>D61*C8*C21^3</f>
        <v>-323.43299999999999</v>
      </c>
      <c r="E62" s="129" t="s">
        <v>70</v>
      </c>
      <c r="G62" s="137">
        <v>0.3</v>
      </c>
      <c r="H62" s="81">
        <f>VLOOKUP($B$61,TABLA!B42:L59,4,FALSE)</f>
        <v>0</v>
      </c>
      <c r="I62" s="43">
        <f t="shared" si="2"/>
        <v>0.98999999999999988</v>
      </c>
      <c r="J62" s="9">
        <f t="shared" si="3"/>
        <v>0</v>
      </c>
      <c r="K62" s="16"/>
    </row>
    <row r="63" spans="1:11" x14ac:dyDescent="0.3">
      <c r="B63" s="130" t="s">
        <v>91</v>
      </c>
      <c r="C63" s="43">
        <f>1.5*C62</f>
        <v>123.98264999999998</v>
      </c>
      <c r="D63" s="43">
        <f>1.5*D62</f>
        <v>-485.14949999999999</v>
      </c>
      <c r="E63" s="129" t="s">
        <v>71</v>
      </c>
      <c r="G63" s="137">
        <v>0.4</v>
      </c>
      <c r="H63" s="81">
        <f>VLOOKUP($B$61,TABLA!B42:L59,5,FALSE)</f>
        <v>0</v>
      </c>
      <c r="I63" s="43">
        <f t="shared" si="2"/>
        <v>1.32</v>
      </c>
      <c r="J63" s="9">
        <f t="shared" si="3"/>
        <v>0</v>
      </c>
    </row>
    <row r="64" spans="1:11" x14ac:dyDescent="0.3">
      <c r="B64" s="130"/>
      <c r="C64" s="43"/>
      <c r="D64" s="4"/>
      <c r="E64" s="129"/>
      <c r="G64" s="137">
        <v>0.5</v>
      </c>
      <c r="H64" s="81">
        <f>VLOOKUP($B$61,TABLA!B42:L59,6,FALSE)</f>
        <v>1E-4</v>
      </c>
      <c r="I64" s="43">
        <f t="shared" si="2"/>
        <v>1.65</v>
      </c>
      <c r="J64" s="9">
        <f t="shared" si="3"/>
        <v>3.5937000000000001</v>
      </c>
      <c r="K64" s="127"/>
    </row>
    <row r="65" spans="2:15" x14ac:dyDescent="0.3">
      <c r="B65" s="124" t="s">
        <v>92</v>
      </c>
      <c r="C65" s="2">
        <f>ROUND(C16*100-C14-C66/2,1)</f>
        <v>11.6</v>
      </c>
      <c r="G65" s="137">
        <v>0.6</v>
      </c>
      <c r="H65" s="81">
        <f>VLOOKUP($B$61,TABLA!B42:L59,7,FALSE)</f>
        <v>8.0000000000000004E-4</v>
      </c>
      <c r="I65" s="43">
        <f t="shared" si="2"/>
        <v>1.9799999999999998</v>
      </c>
      <c r="J65" s="9">
        <f t="shared" si="3"/>
        <v>28.749600000000001</v>
      </c>
      <c r="K65" s="127"/>
    </row>
    <row r="66" spans="2:15" x14ac:dyDescent="0.3">
      <c r="B66" s="19" t="s">
        <v>78</v>
      </c>
      <c r="C66" s="64">
        <f>VLOOKUP(B70,TABLA!B4:F15,5,FALSE)</f>
        <v>0.7097</v>
      </c>
      <c r="D66" s="129" t="s">
        <v>7</v>
      </c>
      <c r="G66" s="137">
        <v>0.7</v>
      </c>
      <c r="H66" s="81">
        <f>VLOOKUP($B$61,TABLA!B42:L59,8,FALSE)</f>
        <v>1.9E-3</v>
      </c>
      <c r="I66" s="43">
        <f t="shared" si="2"/>
        <v>2.3099999999999996</v>
      </c>
      <c r="J66" s="9">
        <f t="shared" si="3"/>
        <v>68.280299999999997</v>
      </c>
      <c r="K66" s="127"/>
      <c r="L66" s="128"/>
    </row>
    <row r="67" spans="2:15" x14ac:dyDescent="0.3">
      <c r="B67" s="3" t="s">
        <v>93</v>
      </c>
      <c r="C67" s="9">
        <f>ROUND((C63*100)/(C19*C9*C13*C65*C65),3)</f>
        <v>5.0000000000000001E-3</v>
      </c>
      <c r="D67" s="43">
        <f>ROUND((ABS(D63)*100)/(C19*C9*C13*C65*C65),3)</f>
        <v>0.02</v>
      </c>
      <c r="G67" s="137">
        <v>0.8</v>
      </c>
      <c r="H67" s="81">
        <f>VLOOKUP($B$61,TABLA!B42:L59,9,FALSE)</f>
        <v>2.3E-3</v>
      </c>
      <c r="I67" s="43">
        <f t="shared" si="2"/>
        <v>2.64</v>
      </c>
      <c r="J67" s="9">
        <f t="shared" si="3"/>
        <v>82.65509999999999</v>
      </c>
      <c r="K67" s="127"/>
    </row>
    <row r="68" spans="2:15" x14ac:dyDescent="0.3">
      <c r="B68" s="3"/>
      <c r="C68" s="83">
        <v>1.78E-2</v>
      </c>
      <c r="D68" s="83">
        <v>2.8500000000000001E-2</v>
      </c>
      <c r="E68" s="167" t="s">
        <v>116</v>
      </c>
      <c r="G68" s="137">
        <v>0.9</v>
      </c>
      <c r="H68" s="81">
        <f>VLOOKUP($B$61,TABLA!B42:L59,10,FALSE)</f>
        <v>-1E-4</v>
      </c>
      <c r="I68" s="43">
        <f t="shared" si="2"/>
        <v>2.9699999999999998</v>
      </c>
      <c r="J68" s="9">
        <f t="shared" si="3"/>
        <v>-3.5937000000000001</v>
      </c>
      <c r="K68" s="127"/>
    </row>
    <row r="69" spans="2:15" x14ac:dyDescent="0.3">
      <c r="B69" s="130" t="s">
        <v>94</v>
      </c>
      <c r="C69" s="43">
        <f>C68*(C9/C10)*C13*C65</f>
        <v>1.0324</v>
      </c>
      <c r="D69" s="43">
        <f>D68*(C9/C10)*C13*C65</f>
        <v>1.653</v>
      </c>
      <c r="E69" s="167">
        <f>0.0015*C13*C65</f>
        <v>1.74</v>
      </c>
      <c r="F69" s="129" t="s">
        <v>72</v>
      </c>
      <c r="G69" s="137">
        <v>1</v>
      </c>
      <c r="H69" s="81">
        <f>VLOOKUP($B$61,TABLA!B42:L59,11,FALSE)</f>
        <v>-8.9999999999999993E-3</v>
      </c>
      <c r="I69" s="43">
        <f t="shared" si="2"/>
        <v>3.3</v>
      </c>
      <c r="J69" s="9">
        <f t="shared" si="3"/>
        <v>-323.43299999999999</v>
      </c>
    </row>
    <row r="70" spans="2:15" x14ac:dyDescent="0.3">
      <c r="B70" s="50">
        <v>3</v>
      </c>
      <c r="C70" s="43">
        <f>VLOOKUP(B70,TABLA!B4:F15,5)</f>
        <v>0.7097</v>
      </c>
      <c r="D70" s="43" t="str">
        <f>VLOOKUP(B70,TABLA!B4:C15,2)</f>
        <v>3/8"</v>
      </c>
      <c r="F70" s="129" t="s">
        <v>9</v>
      </c>
    </row>
    <row r="71" spans="2:15" x14ac:dyDescent="0.3">
      <c r="B71" s="64" t="s">
        <v>6</v>
      </c>
      <c r="C71" s="10">
        <f>C70*C13/C69</f>
        <v>68.742735373886092</v>
      </c>
      <c r="D71" s="10">
        <f>C70*C13/D69</f>
        <v>42.9340592861464</v>
      </c>
      <c r="E71" s="168">
        <f>C70*C13/E69</f>
        <v>40.787356321839077</v>
      </c>
      <c r="F71" s="5" t="s">
        <v>7</v>
      </c>
    </row>
    <row r="72" spans="2:15" x14ac:dyDescent="0.3">
      <c r="B72" t="s">
        <v>115</v>
      </c>
      <c r="C72">
        <f>3*C16*100</f>
        <v>44.999999999999993</v>
      </c>
      <c r="F72" s="163" t="s">
        <v>7</v>
      </c>
    </row>
    <row r="74" spans="2:15" x14ac:dyDescent="0.3">
      <c r="B74" s="59" t="s">
        <v>86</v>
      </c>
    </row>
    <row r="75" spans="2:15" x14ac:dyDescent="0.3">
      <c r="C75" s="134">
        <v>0.01</v>
      </c>
      <c r="D75" s="134">
        <v>0.02</v>
      </c>
    </row>
    <row r="76" spans="2:15" x14ac:dyDescent="0.3">
      <c r="B76" s="77">
        <v>0</v>
      </c>
      <c r="C76" s="136">
        <f>VLOOKUP(CALCULO!C75,TABLA!B63:L83,2,FALSE)</f>
        <v>9.9000000000000008E-3</v>
      </c>
      <c r="D76" s="136">
        <f>VLOOKUP(CALCULO!D75,TABLA!B63:L83,2,FALSE)</f>
        <v>1.9699999999999999E-2</v>
      </c>
      <c r="M76" s="21"/>
    </row>
    <row r="77" spans="2:15" x14ac:dyDescent="0.3">
      <c r="B77" s="77">
        <v>1E-3</v>
      </c>
      <c r="C77" s="136">
        <f>VLOOKUP(C75,TABLA!B63:L83,3,FALSE)</f>
        <v>1.09E-2</v>
      </c>
      <c r="D77" s="136">
        <f>VLOOKUP(D75,TABLA!B63:L83,3,FALSE)</f>
        <v>2.07E-2</v>
      </c>
      <c r="J77" s="59"/>
      <c r="M77" s="169"/>
      <c r="N77" s="40"/>
      <c r="O77" s="163"/>
    </row>
    <row r="78" spans="2:15" x14ac:dyDescent="0.3">
      <c r="B78" s="77">
        <v>2E-3</v>
      </c>
      <c r="C78" s="136">
        <f>VLOOKUP(C75,TABLA!B63:L83,4,FALSE)</f>
        <v>1.1900000000000001E-2</v>
      </c>
      <c r="D78" s="136">
        <f>VLOOKUP(D75,TABLA!B63:L83,4,FALSE)</f>
        <v>2.1700000000000001E-2</v>
      </c>
      <c r="O78" s="129"/>
    </row>
    <row r="79" spans="2:15" x14ac:dyDescent="0.3">
      <c r="B79" s="77">
        <v>3.0000000000000001E-3</v>
      </c>
      <c r="C79" s="135">
        <f>VLOOKUP(C75,TABLA!B63:L83,5,FALSE)</f>
        <v>1.29E-2</v>
      </c>
      <c r="D79" s="135">
        <f>VLOOKUP(D75,TABLA!B63:L83,5,FALSE)</f>
        <v>2.2599999999999999E-2</v>
      </c>
    </row>
    <row r="80" spans="2:15" x14ac:dyDescent="0.3">
      <c r="B80" s="77">
        <v>4.0000000000000001E-3</v>
      </c>
      <c r="C80" s="135">
        <f>VLOOKUP(C75,TABLA!B63:L83,6,FALSE)</f>
        <v>1.3899999999999999E-2</v>
      </c>
      <c r="D80" s="135">
        <f>VLOOKUP(D75,TABLA!B63:L83,6,FALSE)</f>
        <v>2.3599999999999999E-2</v>
      </c>
    </row>
    <row r="81" spans="2:15" x14ac:dyDescent="0.3">
      <c r="B81" s="77">
        <v>5.0000000000000001E-3</v>
      </c>
      <c r="C81" s="135">
        <f>VLOOKUP(C75,TABLA!B63:L83,7,FALSE)</f>
        <v>1.49E-2</v>
      </c>
      <c r="D81" s="135">
        <f>VLOOKUP(D75,TABLA!B63:L83,7,FALSE)</f>
        <v>2.4799999999999999E-2</v>
      </c>
      <c r="N81" s="60"/>
      <c r="O81" s="129"/>
    </row>
    <row r="82" spans="2:15" x14ac:dyDescent="0.3">
      <c r="B82" s="77">
        <v>6.0000000000000001E-3</v>
      </c>
      <c r="C82" s="135">
        <f>VLOOKUP(C75,TABLA!B63:L83,8,FALSE)</f>
        <v>1.5900000000000001E-2</v>
      </c>
      <c r="D82" s="135">
        <f>VLOOKUP(D75,TABLA!B63:L83,8,FALSE)</f>
        <v>2.58E-2</v>
      </c>
    </row>
    <row r="83" spans="2:15" x14ac:dyDescent="0.3">
      <c r="B83" s="77">
        <v>7.0000000000000001E-3</v>
      </c>
      <c r="C83" s="136">
        <f>VLOOKUP(C75,TABLA!B63:L83,9,FALSE)</f>
        <v>1.6799999999999999E-2</v>
      </c>
      <c r="D83" s="136">
        <f>VLOOKUP(D75,TABLA!B63:L83,9,FALSE)</f>
        <v>2.6599999999999999E-2</v>
      </c>
    </row>
    <row r="84" spans="2:15" x14ac:dyDescent="0.3">
      <c r="B84" s="77">
        <v>8.0000000000000002E-3</v>
      </c>
      <c r="C84" s="136">
        <f>VLOOKUP(C75,TABLA!B63:L83,10,FALSE)</f>
        <v>1.78E-2</v>
      </c>
      <c r="D84" s="136">
        <f>VLOOKUP(D75,TABLA!B63:L83,10,FALSE)</f>
        <v>2.75E-2</v>
      </c>
    </row>
    <row r="85" spans="2:15" x14ac:dyDescent="0.3">
      <c r="B85" s="77">
        <v>8.9999999999999993E-3</v>
      </c>
      <c r="C85" s="136">
        <f>VLOOKUP(C75,TABLA!B63:L83,11,FALSE)</f>
        <v>1.8800000000000001E-2</v>
      </c>
      <c r="D85" s="136">
        <f>VLOOKUP(D75,TABLA!B63:L83,11,FALSE)</f>
        <v>2.8500000000000001E-2</v>
      </c>
    </row>
    <row r="87" spans="2:15" ht="18" x14ac:dyDescent="0.35">
      <c r="B87" s="20" t="s">
        <v>73</v>
      </c>
      <c r="C87" s="23"/>
      <c r="D87" s="59"/>
      <c r="E87" s="16"/>
      <c r="F87" s="59"/>
    </row>
    <row r="88" spans="2:15" x14ac:dyDescent="0.3">
      <c r="B88" s="124" t="s">
        <v>95</v>
      </c>
      <c r="C88" s="43">
        <f>C30</f>
        <v>14</v>
      </c>
      <c r="D88" s="59"/>
      <c r="E88" s="16"/>
      <c r="F88" s="16"/>
      <c r="G88" s="183" t="s">
        <v>67</v>
      </c>
      <c r="H88" s="184" t="s">
        <v>74</v>
      </c>
      <c r="I88" s="185" t="s">
        <v>75</v>
      </c>
      <c r="J88" s="185" t="s">
        <v>76</v>
      </c>
      <c r="K88" s="185" t="s">
        <v>77</v>
      </c>
    </row>
    <row r="89" spans="2:15" x14ac:dyDescent="0.3">
      <c r="B89" s="130" t="s">
        <v>100</v>
      </c>
      <c r="C89" s="64">
        <f>VLOOKUP(C88,TABLA!B90:F113,2,FALSE)</f>
        <v>0.13500000000000001</v>
      </c>
      <c r="D89" s="59"/>
      <c r="E89" s="16"/>
      <c r="F89" s="16"/>
      <c r="G89" s="183"/>
      <c r="H89" s="184"/>
      <c r="I89" s="185"/>
      <c r="J89" s="185"/>
      <c r="K89" s="185"/>
    </row>
    <row r="90" spans="2:15" x14ac:dyDescent="0.3">
      <c r="B90" s="131" t="s">
        <v>101</v>
      </c>
      <c r="C90" s="65">
        <f>C89*C8*C21*C21</f>
        <v>1470.1499999999999</v>
      </c>
      <c r="D90" s="16"/>
      <c r="E90" s="16"/>
      <c r="F90" s="16"/>
      <c r="G90" s="183"/>
      <c r="H90" s="184"/>
      <c r="I90" s="185" t="s">
        <v>54</v>
      </c>
      <c r="J90" s="185" t="s">
        <v>55</v>
      </c>
      <c r="K90" s="185" t="s">
        <v>56</v>
      </c>
    </row>
    <row r="91" spans="2:15" x14ac:dyDescent="0.3">
      <c r="B91" s="131" t="s">
        <v>102</v>
      </c>
      <c r="C91" s="43">
        <f>1.5*C90</f>
        <v>2205.2249999999999</v>
      </c>
      <c r="F91" s="16"/>
    </row>
    <row r="92" spans="2:15" x14ac:dyDescent="0.3">
      <c r="B92" s="131" t="s">
        <v>103</v>
      </c>
      <c r="C92" s="9">
        <f>C91/(C13*C65)</f>
        <v>1.9010560344827585</v>
      </c>
      <c r="F92" s="16"/>
    </row>
    <row r="93" spans="2:15" x14ac:dyDescent="0.3">
      <c r="B93" s="131" t="s">
        <v>104</v>
      </c>
      <c r="C93" s="9">
        <f>SQRT(C9)*C19*0.53</f>
        <v>6.5283652241583425</v>
      </c>
    </row>
    <row r="94" spans="2:15" x14ac:dyDescent="0.3">
      <c r="B94" t="s">
        <v>85</v>
      </c>
      <c r="C94" s="161" t="str">
        <f>IF(C93&gt;C92,"OK","verificar")</f>
        <v>OK</v>
      </c>
    </row>
    <row r="95" spans="2:15" x14ac:dyDescent="0.3">
      <c r="C95" s="23"/>
      <c r="D95" s="16"/>
      <c r="E95" s="16"/>
      <c r="F95" s="16"/>
    </row>
    <row r="96" spans="2:15" x14ac:dyDescent="0.3">
      <c r="D96" s="16"/>
      <c r="E96" s="16"/>
      <c r="F96" s="16"/>
    </row>
    <row r="97" spans="2:9" x14ac:dyDescent="0.3">
      <c r="D97" s="16"/>
      <c r="E97" s="16"/>
      <c r="F97" s="16"/>
    </row>
    <row r="98" spans="2:9" ht="18" x14ac:dyDescent="0.35">
      <c r="B98" s="20" t="s">
        <v>109</v>
      </c>
      <c r="C98" s="61"/>
      <c r="D98" s="140"/>
      <c r="E98" s="16"/>
      <c r="F98" s="16"/>
    </row>
    <row r="99" spans="2:9" x14ac:dyDescent="0.3">
      <c r="C99" s="61"/>
      <c r="D99" s="16"/>
      <c r="E99" s="16"/>
      <c r="F99" s="16"/>
    </row>
    <row r="100" spans="2:9" x14ac:dyDescent="0.3">
      <c r="C100" s="23"/>
      <c r="D100" s="16"/>
      <c r="E100" s="16"/>
      <c r="F100" s="16"/>
      <c r="G100" s="11" t="str">
        <f>B48</f>
        <v>3/8"</v>
      </c>
      <c r="H100" s="78">
        <f>C48</f>
        <v>12.8</v>
      </c>
      <c r="I100" s="188" t="s">
        <v>106</v>
      </c>
    </row>
    <row r="101" spans="2:9" x14ac:dyDescent="0.3">
      <c r="C101" s="62"/>
      <c r="D101" s="16"/>
      <c r="E101" s="16"/>
      <c r="F101" s="16"/>
      <c r="G101" s="79" t="str">
        <f>B51</f>
        <v>1/2"</v>
      </c>
      <c r="H101" s="80">
        <f>C51</f>
        <v>23.26</v>
      </c>
      <c r="I101" s="188"/>
    </row>
    <row r="102" spans="2:9" x14ac:dyDescent="0.3">
      <c r="C102" s="62"/>
      <c r="D102" s="16"/>
      <c r="E102" s="16"/>
      <c r="F102" s="16"/>
      <c r="G102" s="11" t="str">
        <f>B56</f>
        <v>1/2"</v>
      </c>
      <c r="H102" s="78">
        <f>C56</f>
        <v>34.4</v>
      </c>
      <c r="I102" t="s">
        <v>105</v>
      </c>
    </row>
    <row r="103" spans="2:9" x14ac:dyDescent="0.3">
      <c r="C103" s="16"/>
      <c r="D103" s="16"/>
      <c r="E103" s="16"/>
      <c r="F103" s="16"/>
      <c r="G103" s="16"/>
      <c r="H103" s="16"/>
    </row>
    <row r="104" spans="2:9" x14ac:dyDescent="0.3">
      <c r="C104" s="16"/>
      <c r="D104" s="16"/>
      <c r="E104" s="16"/>
      <c r="F104" s="16"/>
      <c r="G104" s="187"/>
      <c r="H104" s="187"/>
    </row>
    <row r="105" spans="2:9" x14ac:dyDescent="0.3">
      <c r="E105" s="79" t="str">
        <f>D70</f>
        <v>3/8"</v>
      </c>
      <c r="F105" s="170">
        <f>IF(D71&lt;C72,D71,MIN(D71,E71,C72))</f>
        <v>42.9340592861464</v>
      </c>
      <c r="G105" s="59"/>
      <c r="H105" s="59"/>
    </row>
    <row r="106" spans="2:9" x14ac:dyDescent="0.3">
      <c r="F106" s="16"/>
      <c r="G106" s="59"/>
      <c r="H106" s="59"/>
    </row>
    <row r="107" spans="2:9" x14ac:dyDescent="0.3">
      <c r="B107" s="79" t="str">
        <f>D70</f>
        <v>3/8"</v>
      </c>
      <c r="C107" s="170">
        <f>IF(C71&lt;C72,C71,MIN(C71,E71,C72))</f>
        <v>40.787356321839077</v>
      </c>
      <c r="F107" s="16"/>
      <c r="G107" s="59"/>
      <c r="H107" s="59"/>
    </row>
    <row r="108" spans="2:9" x14ac:dyDescent="0.3">
      <c r="F108" s="16"/>
      <c r="G108" s="59"/>
      <c r="H108" s="59"/>
    </row>
    <row r="112" spans="2:9" x14ac:dyDescent="0.3">
      <c r="C112" s="182"/>
      <c r="D112" s="182"/>
      <c r="E112" s="182"/>
    </row>
    <row r="113" spans="3:5" x14ac:dyDescent="0.3">
      <c r="C113" s="182"/>
      <c r="D113" s="182"/>
      <c r="E113" s="182"/>
    </row>
  </sheetData>
  <mergeCells count="10">
    <mergeCell ref="B1:J2"/>
    <mergeCell ref="E17:F17"/>
    <mergeCell ref="G104:H104"/>
    <mergeCell ref="I100:I101"/>
    <mergeCell ref="K88:K90"/>
    <mergeCell ref="C112:E113"/>
    <mergeCell ref="G88:G90"/>
    <mergeCell ref="H88:H90"/>
    <mergeCell ref="I88:I90"/>
    <mergeCell ref="J88:J90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13"/>
  <sheetViews>
    <sheetView zoomScale="93" zoomScaleNormal="93" workbookViewId="0">
      <selection activeCell="K5" sqref="K5"/>
    </sheetView>
  </sheetViews>
  <sheetFormatPr baseColWidth="10" defaultRowHeight="14.4" x14ac:dyDescent="0.3"/>
  <cols>
    <col min="5" max="5" width="12.5546875" customWidth="1"/>
  </cols>
  <sheetData>
    <row r="1" spans="2:15" ht="15" thickBot="1" x14ac:dyDescent="0.35"/>
    <row r="2" spans="2:15" ht="16.8" thickBot="1" x14ac:dyDescent="0.45">
      <c r="B2" s="189" t="s">
        <v>32</v>
      </c>
      <c r="C2" s="190"/>
      <c r="D2" s="190"/>
      <c r="E2" s="190"/>
      <c r="F2" s="190"/>
      <c r="G2" s="191"/>
      <c r="J2" s="16"/>
      <c r="K2" s="16"/>
      <c r="L2" s="16"/>
      <c r="M2" s="16"/>
      <c r="N2" s="16"/>
      <c r="O2" s="16"/>
    </row>
    <row r="3" spans="2:15" ht="33" thickBot="1" x14ac:dyDescent="0.35">
      <c r="B3" s="38" t="s">
        <v>33</v>
      </c>
      <c r="C3" s="35" t="s">
        <v>34</v>
      </c>
      <c r="D3" s="36" t="s">
        <v>35</v>
      </c>
      <c r="E3" s="35" t="s">
        <v>53</v>
      </c>
      <c r="F3" s="37" t="s">
        <v>36</v>
      </c>
      <c r="G3" s="36" t="s">
        <v>37</v>
      </c>
      <c r="H3" s="177" t="s">
        <v>117</v>
      </c>
      <c r="J3" s="172"/>
      <c r="K3" s="172"/>
      <c r="L3" s="172"/>
      <c r="M3" s="172"/>
      <c r="N3" s="16"/>
      <c r="O3" s="16"/>
    </row>
    <row r="4" spans="2:15" ht="16.2" x14ac:dyDescent="0.4">
      <c r="B4" s="25">
        <v>2</v>
      </c>
      <c r="C4" s="26" t="s">
        <v>38</v>
      </c>
      <c r="D4" s="27">
        <f t="shared" ref="D4:D15" si="0">+F4/10000</f>
        <v>3.2259999999999999E-5</v>
      </c>
      <c r="E4" s="27">
        <v>0.63500000000000001</v>
      </c>
      <c r="F4" s="47">
        <v>0.3226</v>
      </c>
      <c r="G4" s="28">
        <f t="shared" ref="G4:G15" si="1">+E4/2.54</f>
        <v>0.25</v>
      </c>
      <c r="H4" s="178">
        <v>0.248</v>
      </c>
      <c r="J4" s="173"/>
      <c r="K4" s="174"/>
      <c r="L4" s="175"/>
      <c r="M4" s="176"/>
      <c r="N4" s="176"/>
      <c r="O4" s="16"/>
    </row>
    <row r="5" spans="2:15" ht="16.2" x14ac:dyDescent="0.4">
      <c r="B5" s="29">
        <v>3</v>
      </c>
      <c r="C5" s="30" t="s">
        <v>39</v>
      </c>
      <c r="D5" s="30">
        <f t="shared" si="0"/>
        <v>7.0969999999999993E-5</v>
      </c>
      <c r="E5" s="30">
        <v>0.95250000000000001</v>
      </c>
      <c r="F5" s="48">
        <v>0.7097</v>
      </c>
      <c r="G5" s="31">
        <f t="shared" si="1"/>
        <v>0.375</v>
      </c>
      <c r="H5" s="179">
        <v>0.56000000000000005</v>
      </c>
      <c r="J5" s="173"/>
      <c r="K5" s="175"/>
      <c r="L5" s="175"/>
      <c r="M5" s="176"/>
      <c r="N5" s="16"/>
      <c r="O5" s="16"/>
    </row>
    <row r="6" spans="2:15" ht="16.2" x14ac:dyDescent="0.4">
      <c r="B6" s="29">
        <v>4</v>
      </c>
      <c r="C6" s="30" t="s">
        <v>40</v>
      </c>
      <c r="D6" s="30">
        <f t="shared" si="0"/>
        <v>1.2899999999999999E-4</v>
      </c>
      <c r="E6" s="30">
        <v>1.27</v>
      </c>
      <c r="F6" s="48">
        <v>1.29</v>
      </c>
      <c r="G6" s="31">
        <f t="shared" si="1"/>
        <v>0.5</v>
      </c>
      <c r="H6" s="179">
        <v>0.99399999999999999</v>
      </c>
      <c r="J6" s="173"/>
      <c r="K6" s="175"/>
      <c r="L6" s="175"/>
      <c r="M6" s="176"/>
      <c r="N6" s="16"/>
      <c r="O6" s="16"/>
    </row>
    <row r="7" spans="2:15" ht="16.2" x14ac:dyDescent="0.4">
      <c r="B7" s="29">
        <v>5</v>
      </c>
      <c r="C7" s="30" t="s">
        <v>41</v>
      </c>
      <c r="D7" s="30">
        <f t="shared" si="0"/>
        <v>2.0000000000000001E-4</v>
      </c>
      <c r="E7" s="30">
        <v>1.59</v>
      </c>
      <c r="F7" s="48">
        <v>2</v>
      </c>
      <c r="G7" s="31">
        <f t="shared" si="1"/>
        <v>0.62598425196850394</v>
      </c>
      <c r="H7" s="179">
        <v>1.552</v>
      </c>
      <c r="J7" s="173"/>
      <c r="K7" s="175"/>
      <c r="L7" s="175"/>
      <c r="M7" s="176"/>
      <c r="N7" s="16"/>
      <c r="O7" s="16"/>
    </row>
    <row r="8" spans="2:15" ht="16.2" x14ac:dyDescent="0.4">
      <c r="B8" s="29">
        <v>6</v>
      </c>
      <c r="C8" s="30" t="s">
        <v>42</v>
      </c>
      <c r="D8" s="30">
        <f t="shared" si="0"/>
        <v>2.8386999999999998E-4</v>
      </c>
      <c r="E8" s="30">
        <v>1.91</v>
      </c>
      <c r="F8" s="48">
        <v>2.8386999999999998</v>
      </c>
      <c r="G8" s="31">
        <f t="shared" si="1"/>
        <v>0.75196850393700787</v>
      </c>
      <c r="H8" s="179">
        <v>2.2349999999999999</v>
      </c>
      <c r="J8" s="173"/>
      <c r="K8" s="175"/>
      <c r="L8" s="175"/>
      <c r="M8" s="176"/>
      <c r="N8" s="16"/>
      <c r="O8" s="16"/>
    </row>
    <row r="9" spans="2:15" ht="16.2" x14ac:dyDescent="0.4">
      <c r="B9" s="29">
        <v>7</v>
      </c>
      <c r="C9" s="30" t="s">
        <v>43</v>
      </c>
      <c r="D9" s="30">
        <f t="shared" si="0"/>
        <v>3.8709999999999998E-4</v>
      </c>
      <c r="E9" s="30">
        <v>2.2200000000000002</v>
      </c>
      <c r="F9" s="48">
        <v>3.871</v>
      </c>
      <c r="G9" s="31">
        <f t="shared" si="1"/>
        <v>0.87401574803149618</v>
      </c>
      <c r="H9" s="179">
        <v>3.0430000000000001</v>
      </c>
      <c r="J9" s="173"/>
      <c r="K9" s="175"/>
      <c r="L9" s="175"/>
      <c r="M9" s="176"/>
      <c r="N9" s="176"/>
      <c r="O9" s="16"/>
    </row>
    <row r="10" spans="2:15" ht="16.2" x14ac:dyDescent="0.4">
      <c r="B10" s="29">
        <v>8</v>
      </c>
      <c r="C10" s="30" t="s">
        <v>44</v>
      </c>
      <c r="D10" s="30">
        <f t="shared" si="0"/>
        <v>5.0967999999999999E-4</v>
      </c>
      <c r="E10" s="30">
        <v>2.54</v>
      </c>
      <c r="F10" s="48">
        <v>5.0968</v>
      </c>
      <c r="G10" s="31">
        <f t="shared" si="1"/>
        <v>1</v>
      </c>
      <c r="H10" s="179">
        <v>3.9729999999999999</v>
      </c>
      <c r="J10" s="173"/>
      <c r="K10" s="175"/>
      <c r="L10" s="175"/>
      <c r="M10" s="176"/>
      <c r="N10" s="16"/>
      <c r="O10" s="16"/>
    </row>
    <row r="11" spans="2:15" ht="16.2" x14ac:dyDescent="0.4">
      <c r="B11" s="29">
        <v>9</v>
      </c>
      <c r="C11" s="30" t="s">
        <v>45</v>
      </c>
      <c r="D11" s="30">
        <f t="shared" si="0"/>
        <v>6.4515999999999998E-4</v>
      </c>
      <c r="E11" s="30">
        <v>2.87</v>
      </c>
      <c r="F11" s="48">
        <v>6.4516</v>
      </c>
      <c r="G11" s="31">
        <f t="shared" si="1"/>
        <v>1.1299212598425197</v>
      </c>
      <c r="H11" s="180"/>
      <c r="J11" s="173"/>
      <c r="K11" s="175"/>
      <c r="L11" s="175"/>
      <c r="M11" s="176"/>
      <c r="N11" s="176"/>
      <c r="O11" s="16"/>
    </row>
    <row r="12" spans="2:15" ht="16.2" x14ac:dyDescent="0.4">
      <c r="B12" s="29">
        <v>10</v>
      </c>
      <c r="C12" s="30" t="s">
        <v>46</v>
      </c>
      <c r="D12" s="30">
        <f t="shared" si="0"/>
        <v>8.1935000000000005E-4</v>
      </c>
      <c r="E12" s="30">
        <v>3.23</v>
      </c>
      <c r="F12" s="48">
        <v>8.1935000000000002</v>
      </c>
      <c r="G12" s="31">
        <f t="shared" si="1"/>
        <v>1.2716535433070866</v>
      </c>
      <c r="H12" s="180"/>
      <c r="J12" s="173"/>
      <c r="K12" s="175"/>
      <c r="L12" s="175"/>
      <c r="M12" s="176"/>
      <c r="N12" s="176"/>
      <c r="O12" s="16"/>
    </row>
    <row r="13" spans="2:15" ht="15.6" x14ac:dyDescent="0.35">
      <c r="B13" s="29">
        <v>11</v>
      </c>
      <c r="C13" s="30" t="s">
        <v>47</v>
      </c>
      <c r="D13" s="30">
        <f t="shared" si="0"/>
        <v>1.0064500000000001E-3</v>
      </c>
      <c r="E13" s="30">
        <v>3.58</v>
      </c>
      <c r="F13" s="48">
        <v>10.064500000000001</v>
      </c>
      <c r="G13" s="31">
        <f t="shared" si="1"/>
        <v>1.4094488188976377</v>
      </c>
      <c r="H13" s="180"/>
      <c r="J13" s="16"/>
      <c r="K13" s="16"/>
      <c r="L13" s="16"/>
      <c r="M13" s="16"/>
      <c r="N13" s="16"/>
      <c r="O13" s="16"/>
    </row>
    <row r="14" spans="2:15" ht="15.6" x14ac:dyDescent="0.35">
      <c r="B14" s="29">
        <v>14</v>
      </c>
      <c r="C14" s="30" t="s">
        <v>48</v>
      </c>
      <c r="D14" s="30">
        <f t="shared" si="0"/>
        <v>1.4516099999999999E-3</v>
      </c>
      <c r="E14" s="30">
        <v>4.3</v>
      </c>
      <c r="F14" s="48">
        <v>14.5161</v>
      </c>
      <c r="G14" s="31">
        <f t="shared" si="1"/>
        <v>1.6929133858267715</v>
      </c>
      <c r="H14" s="180"/>
      <c r="J14" s="16"/>
      <c r="K14" s="16"/>
      <c r="L14" s="16"/>
      <c r="M14" s="16"/>
      <c r="N14" s="16"/>
      <c r="O14" s="16"/>
    </row>
    <row r="15" spans="2:15" ht="16.2" thickBot="1" x14ac:dyDescent="0.4">
      <c r="B15" s="32">
        <v>18</v>
      </c>
      <c r="C15" s="33" t="s">
        <v>49</v>
      </c>
      <c r="D15" s="33">
        <f t="shared" si="0"/>
        <v>2.5806399999999999E-3</v>
      </c>
      <c r="E15" s="33">
        <v>5.73</v>
      </c>
      <c r="F15" s="49">
        <v>25.8064</v>
      </c>
      <c r="G15" s="34">
        <f t="shared" si="1"/>
        <v>2.2559055118110236</v>
      </c>
      <c r="H15" s="181"/>
    </row>
    <row r="17" spans="2:12" ht="15" thickBot="1" x14ac:dyDescent="0.35">
      <c r="B17" s="160" t="s">
        <v>80</v>
      </c>
      <c r="C17" s="44"/>
    </row>
    <row r="18" spans="2:12" x14ac:dyDescent="0.3">
      <c r="B18" s="192" t="s">
        <v>61</v>
      </c>
      <c r="C18" s="193"/>
      <c r="D18" s="193"/>
      <c r="E18" s="193"/>
      <c r="F18" s="193"/>
      <c r="G18" s="193"/>
      <c r="H18" s="193"/>
      <c r="I18" s="193"/>
      <c r="J18" s="193"/>
      <c r="K18" s="193"/>
      <c r="L18" s="194"/>
    </row>
    <row r="19" spans="2:12" ht="15" thickBot="1" x14ac:dyDescent="0.35">
      <c r="B19" s="119" t="s">
        <v>50</v>
      </c>
      <c r="C19" s="117" t="s">
        <v>51</v>
      </c>
      <c r="D19" s="117" t="s">
        <v>52</v>
      </c>
      <c r="E19" s="117" t="s">
        <v>54</v>
      </c>
      <c r="F19" s="117" t="s">
        <v>55</v>
      </c>
      <c r="G19" s="117" t="s">
        <v>56</v>
      </c>
      <c r="H19" s="117" t="s">
        <v>57</v>
      </c>
      <c r="I19" s="117" t="s">
        <v>58</v>
      </c>
      <c r="J19" s="117" t="s">
        <v>59</v>
      </c>
      <c r="K19" s="117" t="s">
        <v>60</v>
      </c>
      <c r="L19" s="118" t="s">
        <v>65</v>
      </c>
    </row>
    <row r="20" spans="2:12" x14ac:dyDescent="0.3">
      <c r="B20" s="86">
        <v>0.4</v>
      </c>
      <c r="C20" s="4">
        <v>0.14899999999999999</v>
      </c>
      <c r="D20" s="4">
        <v>0.13400000000000001</v>
      </c>
      <c r="E20" s="4">
        <v>0.12</v>
      </c>
      <c r="F20" s="4">
        <v>0.10100000000000001</v>
      </c>
      <c r="G20" s="4">
        <v>8.2000000000000003E-2</v>
      </c>
      <c r="H20" s="4">
        <v>6.6000000000000003E-2</v>
      </c>
      <c r="I20" s="63">
        <v>4.9000000000000002E-2</v>
      </c>
      <c r="J20" s="4">
        <v>2.9000000000000001E-2</v>
      </c>
      <c r="K20" s="4">
        <v>1.4E-2</v>
      </c>
      <c r="L20" s="87">
        <v>4.0000000000000001E-3</v>
      </c>
    </row>
    <row r="21" spans="2:12" x14ac:dyDescent="0.3">
      <c r="B21" s="86">
        <v>0.8</v>
      </c>
      <c r="C21" s="4">
        <v>0.26300000000000001</v>
      </c>
      <c r="D21" s="63">
        <v>0.23899999999999999</v>
      </c>
      <c r="E21" s="63">
        <v>0.215</v>
      </c>
      <c r="F21" s="63">
        <v>0.19</v>
      </c>
      <c r="G21" s="63">
        <v>0.16</v>
      </c>
      <c r="H21" s="63">
        <v>0.13</v>
      </c>
      <c r="I21" s="63">
        <v>9.6000000000000002E-2</v>
      </c>
      <c r="J21" s="63">
        <v>6.3E-2</v>
      </c>
      <c r="K21" s="63">
        <v>3.4000000000000002E-2</v>
      </c>
      <c r="L21" s="87">
        <v>0.01</v>
      </c>
    </row>
    <row r="22" spans="2:12" x14ac:dyDescent="0.3">
      <c r="B22" s="86">
        <v>1.2</v>
      </c>
      <c r="C22" s="4">
        <v>0.28299999999999997</v>
      </c>
      <c r="D22" s="63">
        <v>0.27100000000000002</v>
      </c>
      <c r="E22" s="63">
        <v>0.254</v>
      </c>
      <c r="F22" s="63">
        <v>0.23400000000000001</v>
      </c>
      <c r="G22" s="63">
        <v>0.20899999999999999</v>
      </c>
      <c r="H22" s="63">
        <v>0.18</v>
      </c>
      <c r="I22" s="63">
        <v>0.14199999999999999</v>
      </c>
      <c r="J22" s="63">
        <v>9.9000000000000005E-2</v>
      </c>
      <c r="K22" s="63">
        <v>5.3999999999999999E-2</v>
      </c>
      <c r="L22" s="87">
        <v>1.6E-2</v>
      </c>
    </row>
    <row r="23" spans="2:12" x14ac:dyDescent="0.3">
      <c r="B23" s="86">
        <v>1.6</v>
      </c>
      <c r="C23" s="63">
        <v>0.26500000000000001</v>
      </c>
      <c r="D23" s="63">
        <v>0.26800000000000002</v>
      </c>
      <c r="E23" s="63">
        <v>0.26800000000000002</v>
      </c>
      <c r="F23" s="63">
        <v>0.26600000000000001</v>
      </c>
      <c r="G23" s="63">
        <v>0.25</v>
      </c>
      <c r="H23" s="63">
        <v>0.22600000000000001</v>
      </c>
      <c r="I23" s="63">
        <v>0.185</v>
      </c>
      <c r="J23" s="63">
        <v>0.13400000000000001</v>
      </c>
      <c r="K23" s="63">
        <v>7.4999999999999997E-2</v>
      </c>
      <c r="L23" s="87">
        <v>2.3E-2</v>
      </c>
    </row>
    <row r="24" spans="2:12" x14ac:dyDescent="0.3">
      <c r="B24" s="88">
        <v>2</v>
      </c>
      <c r="C24" s="68">
        <v>0.23400000000000001</v>
      </c>
      <c r="D24" s="68">
        <v>0.251</v>
      </c>
      <c r="E24" s="68">
        <v>0.27300000000000002</v>
      </c>
      <c r="F24" s="68">
        <v>0.28499999999999998</v>
      </c>
      <c r="G24" s="68">
        <v>0.28499999999999998</v>
      </c>
      <c r="H24" s="68">
        <v>0.27400000000000002</v>
      </c>
      <c r="I24" s="63">
        <v>0.23200000000000001</v>
      </c>
      <c r="J24" s="68">
        <v>0.17199999999999999</v>
      </c>
      <c r="K24" s="68">
        <v>0.104</v>
      </c>
      <c r="L24" s="89">
        <v>3.1E-2</v>
      </c>
    </row>
    <row r="25" spans="2:12" x14ac:dyDescent="0.3">
      <c r="B25" s="84">
        <v>3</v>
      </c>
      <c r="C25" s="67">
        <v>0.13400000000000001</v>
      </c>
      <c r="D25" s="67">
        <v>0.20300000000000001</v>
      </c>
      <c r="E25" s="67">
        <v>0.26700000000000002</v>
      </c>
      <c r="F25" s="67">
        <v>0.32200000000000001</v>
      </c>
      <c r="G25" s="67">
        <v>0.35699999999999998</v>
      </c>
      <c r="H25" s="67">
        <v>0.36199999999999999</v>
      </c>
      <c r="I25" s="67">
        <v>0.33</v>
      </c>
      <c r="J25" s="67">
        <v>0.26200000000000001</v>
      </c>
      <c r="K25" s="67">
        <v>0.157</v>
      </c>
      <c r="L25" s="85">
        <v>5.1999999999999998E-2</v>
      </c>
    </row>
    <row r="26" spans="2:12" x14ac:dyDescent="0.3">
      <c r="B26" s="86">
        <v>4</v>
      </c>
      <c r="C26" s="4">
        <v>6.7000000000000004E-2</v>
      </c>
      <c r="D26" s="4">
        <v>0.16400000000000001</v>
      </c>
      <c r="E26" s="63">
        <v>0.25600000000000001</v>
      </c>
      <c r="F26" s="63">
        <v>0.33900000000000002</v>
      </c>
      <c r="G26" s="63">
        <v>0.40300000000000002</v>
      </c>
      <c r="H26" s="63">
        <v>0.42899999999999999</v>
      </c>
      <c r="I26" s="63">
        <v>0.40899999999999997</v>
      </c>
      <c r="J26" s="63">
        <v>0.33400000000000002</v>
      </c>
      <c r="K26" s="63">
        <v>0.21</v>
      </c>
      <c r="L26" s="87">
        <v>7.2999999999999995E-2</v>
      </c>
    </row>
    <row r="27" spans="2:12" x14ac:dyDescent="0.3">
      <c r="B27" s="86">
        <v>5</v>
      </c>
      <c r="C27" s="4">
        <v>2.5000000000000001E-2</v>
      </c>
      <c r="D27" s="4">
        <v>0.13700000000000001</v>
      </c>
      <c r="E27" s="63">
        <v>0.245</v>
      </c>
      <c r="F27" s="63">
        <v>0.34599999999999997</v>
      </c>
      <c r="G27" s="63">
        <v>0.42799999999999999</v>
      </c>
      <c r="H27" s="63">
        <v>0.47699999999999998</v>
      </c>
      <c r="I27" s="63">
        <v>0.46899999999999997</v>
      </c>
      <c r="J27" s="63">
        <v>0.39800000000000002</v>
      </c>
      <c r="K27" s="63">
        <v>0.25900000000000001</v>
      </c>
      <c r="L27" s="87">
        <v>9.1999999999999998E-2</v>
      </c>
    </row>
    <row r="28" spans="2:12" x14ac:dyDescent="0.3">
      <c r="B28" s="86">
        <v>6</v>
      </c>
      <c r="C28" s="63">
        <v>1.7999999999999999E-2</v>
      </c>
      <c r="D28" s="63">
        <v>0.11899999999999999</v>
      </c>
      <c r="E28" s="63">
        <v>0.23400000000000001</v>
      </c>
      <c r="F28" s="63">
        <v>0.34399999999999997</v>
      </c>
      <c r="G28" s="63">
        <v>0.441</v>
      </c>
      <c r="H28" s="63">
        <v>0.504</v>
      </c>
      <c r="I28" s="63">
        <v>0.51400000000000001</v>
      </c>
      <c r="J28" s="63">
        <v>0.44700000000000001</v>
      </c>
      <c r="K28" s="63">
        <v>0.30099999999999999</v>
      </c>
      <c r="L28" s="87">
        <v>0.112</v>
      </c>
    </row>
    <row r="29" spans="2:12" x14ac:dyDescent="0.3">
      <c r="B29" s="88">
        <v>8</v>
      </c>
      <c r="C29" s="68">
        <v>1.0999999999999999E-2</v>
      </c>
      <c r="D29" s="68">
        <v>0.104</v>
      </c>
      <c r="E29" s="68">
        <v>0.218</v>
      </c>
      <c r="F29" s="68">
        <v>0.33500000000000002</v>
      </c>
      <c r="G29" s="68">
        <v>0.443</v>
      </c>
      <c r="H29" s="68">
        <v>0.53400000000000003</v>
      </c>
      <c r="I29" s="68">
        <v>0.57499999999999996</v>
      </c>
      <c r="J29" s="68">
        <v>0.53</v>
      </c>
      <c r="K29" s="68">
        <v>0.38100000000000001</v>
      </c>
      <c r="L29" s="89">
        <v>0.151</v>
      </c>
    </row>
    <row r="30" spans="2:12" x14ac:dyDescent="0.3">
      <c r="B30" s="86">
        <v>9</v>
      </c>
      <c r="C30" s="4">
        <f t="shared" ref="C30:L30" si="2">($B$30-$B$29)/($B$31-$B$29)*(C31-C29)+C29</f>
        <v>1.0999999999999999E-2</v>
      </c>
      <c r="D30" s="4">
        <f t="shared" si="2"/>
        <v>0.10100000000000001</v>
      </c>
      <c r="E30" s="4">
        <f t="shared" si="2"/>
        <v>0.21299999999999999</v>
      </c>
      <c r="F30" s="4">
        <f t="shared" si="2"/>
        <v>0.32900000000000001</v>
      </c>
      <c r="G30" s="4">
        <f t="shared" si="2"/>
        <v>0.44</v>
      </c>
      <c r="H30" s="4">
        <f t="shared" si="2"/>
        <v>0.53800000000000003</v>
      </c>
      <c r="I30" s="4">
        <f t="shared" si="2"/>
        <v>0.59149999999999991</v>
      </c>
      <c r="J30" s="4">
        <f t="shared" si="2"/>
        <v>0.5595</v>
      </c>
      <c r="K30" s="4">
        <f t="shared" si="2"/>
        <v>0.41049999999999998</v>
      </c>
      <c r="L30" s="85">
        <f t="shared" si="2"/>
        <v>0.16499999999999998</v>
      </c>
    </row>
    <row r="31" spans="2:12" x14ac:dyDescent="0.3">
      <c r="B31" s="86">
        <v>10</v>
      </c>
      <c r="C31" s="69">
        <v>1.0999999999999999E-2</v>
      </c>
      <c r="D31" s="69">
        <v>9.8000000000000004E-2</v>
      </c>
      <c r="E31" s="52">
        <v>0.20799999999999999</v>
      </c>
      <c r="F31" s="52">
        <v>0.32300000000000001</v>
      </c>
      <c r="G31" s="52">
        <v>0.437</v>
      </c>
      <c r="H31" s="52">
        <v>0.54200000000000004</v>
      </c>
      <c r="I31" s="52">
        <v>0.60799999999999998</v>
      </c>
      <c r="J31" s="52">
        <v>0.58899999999999997</v>
      </c>
      <c r="K31" s="52">
        <v>0.44</v>
      </c>
      <c r="L31" s="90">
        <v>0.17899999999999999</v>
      </c>
    </row>
    <row r="32" spans="2:12" x14ac:dyDescent="0.3">
      <c r="B32" s="86">
        <v>11</v>
      </c>
      <c r="C32" s="69">
        <f>($B$32-$B$31)/($B$33-$B$31)*(C33-C31)+C31</f>
        <v>8.0000000000000002E-3</v>
      </c>
      <c r="D32" s="69">
        <f t="shared" ref="D32:L32" si="3">($B$32-$B$31)/($B$33-$B$31)*(D33-D31)+D31</f>
        <v>9.7500000000000003E-2</v>
      </c>
      <c r="E32" s="69">
        <f t="shared" si="3"/>
        <v>0.20500000000000002</v>
      </c>
      <c r="F32" s="69">
        <f t="shared" si="3"/>
        <v>0.3175</v>
      </c>
      <c r="G32" s="69">
        <f t="shared" si="3"/>
        <v>0.433</v>
      </c>
      <c r="H32" s="69">
        <f t="shared" si="3"/>
        <v>0.54249999999999998</v>
      </c>
      <c r="I32" s="69">
        <f t="shared" si="3"/>
        <v>0.61799999999999999</v>
      </c>
      <c r="J32" s="69">
        <f t="shared" si="3"/>
        <v>0.61099999999999999</v>
      </c>
      <c r="K32" s="69">
        <f t="shared" si="3"/>
        <v>0.46699999999999997</v>
      </c>
      <c r="L32" s="90">
        <f t="shared" si="3"/>
        <v>0.19500000000000001</v>
      </c>
    </row>
    <row r="33" spans="2:13" x14ac:dyDescent="0.3">
      <c r="B33" s="86">
        <v>12</v>
      </c>
      <c r="C33" s="69">
        <v>5.0000000000000001E-3</v>
      </c>
      <c r="D33" s="69">
        <v>9.7000000000000003E-2</v>
      </c>
      <c r="E33" s="52">
        <v>0.20200000000000001</v>
      </c>
      <c r="F33" s="52">
        <v>0.312</v>
      </c>
      <c r="G33" s="52">
        <v>0.42899999999999999</v>
      </c>
      <c r="H33" s="52">
        <v>0.54300000000000004</v>
      </c>
      <c r="I33" s="52">
        <v>0.628</v>
      </c>
      <c r="J33" s="52">
        <v>0.63300000000000001</v>
      </c>
      <c r="K33" s="69">
        <v>0.49399999999999999</v>
      </c>
      <c r="L33" s="91">
        <v>0.21099999999999999</v>
      </c>
    </row>
    <row r="34" spans="2:13" x14ac:dyDescent="0.3">
      <c r="B34" s="86">
        <v>13</v>
      </c>
      <c r="C34" s="69">
        <f>($B$34-$B$33)/($B$35-$B$33)*(C35-C33)+C33</f>
        <v>3.5000000000000001E-3</v>
      </c>
      <c r="D34" s="69">
        <f t="shared" ref="D34:L34" si="4">($B$34-$B$33)/($B$35-$B$33)*(D35-D33)+D33</f>
        <v>9.7500000000000003E-2</v>
      </c>
      <c r="E34" s="69">
        <f t="shared" si="4"/>
        <v>0.20100000000000001</v>
      </c>
      <c r="F34" s="69">
        <f t="shared" si="4"/>
        <v>0.309</v>
      </c>
      <c r="G34" s="69">
        <f t="shared" si="4"/>
        <v>0.42449999999999999</v>
      </c>
      <c r="H34" s="69">
        <f t="shared" si="4"/>
        <v>0.54100000000000004</v>
      </c>
      <c r="I34" s="69">
        <f t="shared" si="4"/>
        <v>0.63349999999999995</v>
      </c>
      <c r="J34" s="69">
        <f t="shared" si="4"/>
        <v>0.64949999999999997</v>
      </c>
      <c r="K34" s="69">
        <f t="shared" si="4"/>
        <v>0.51750000000000007</v>
      </c>
      <c r="L34" s="90">
        <f t="shared" si="4"/>
        <v>0.22599999999999998</v>
      </c>
    </row>
    <row r="35" spans="2:13" x14ac:dyDescent="0.3">
      <c r="B35" s="86">
        <v>14</v>
      </c>
      <c r="C35" s="69">
        <v>2E-3</v>
      </c>
      <c r="D35" s="69">
        <v>9.8000000000000004E-2</v>
      </c>
      <c r="E35" s="52">
        <v>0.2</v>
      </c>
      <c r="F35" s="52">
        <v>0.30599999999999999</v>
      </c>
      <c r="G35" s="52">
        <v>0.42</v>
      </c>
      <c r="H35" s="52">
        <v>0.53900000000000003</v>
      </c>
      <c r="I35" s="52">
        <v>0.63900000000000001</v>
      </c>
      <c r="J35" s="52">
        <v>0.66600000000000004</v>
      </c>
      <c r="K35" s="69">
        <v>0.54100000000000004</v>
      </c>
      <c r="L35" s="91">
        <v>0.24099999999999999</v>
      </c>
      <c r="M35" s="165"/>
    </row>
    <row r="36" spans="2:13" x14ac:dyDescent="0.3">
      <c r="B36" s="86">
        <v>15</v>
      </c>
      <c r="C36" s="69">
        <f>($B$36-$B$35)/($B$37-$B$35)*(C37-C35)+C35</f>
        <v>1E-3</v>
      </c>
      <c r="D36" s="69">
        <f t="shared" ref="D36:L36" si="5">($B$36-$B$35)/($B$37-$B$35)*(D37-D35)+D35</f>
        <v>9.8500000000000004E-2</v>
      </c>
      <c r="E36" s="69">
        <f>($B$36-$B$35)/($B$37-$B$35)*(E37-E35)+E35</f>
        <v>0.19950000000000001</v>
      </c>
      <c r="F36" s="69">
        <f t="shared" si="5"/>
        <v>0.30499999999999999</v>
      </c>
      <c r="G36" s="69">
        <f t="shared" si="5"/>
        <v>0.41599999999999998</v>
      </c>
      <c r="H36" s="69">
        <f t="shared" si="5"/>
        <v>0.53500000000000003</v>
      </c>
      <c r="I36" s="69">
        <f t="shared" si="5"/>
        <v>0.64</v>
      </c>
      <c r="J36" s="69">
        <f t="shared" si="5"/>
        <v>0.6765000000000001</v>
      </c>
      <c r="K36" s="69">
        <f t="shared" si="5"/>
        <v>0.5615</v>
      </c>
      <c r="L36" s="90">
        <f t="shared" si="5"/>
        <v>0.253</v>
      </c>
    </row>
    <row r="37" spans="2:13" ht="15" thickBot="1" x14ac:dyDescent="0.35">
      <c r="B37" s="92">
        <v>16</v>
      </c>
      <c r="C37" s="93">
        <v>0</v>
      </c>
      <c r="D37" s="93">
        <v>9.9000000000000005E-2</v>
      </c>
      <c r="E37" s="93">
        <v>0.19900000000000001</v>
      </c>
      <c r="F37" s="93">
        <v>0.30399999999999999</v>
      </c>
      <c r="G37" s="93">
        <v>0.41199999999999998</v>
      </c>
      <c r="H37" s="93">
        <v>0.53100000000000003</v>
      </c>
      <c r="I37" s="93">
        <v>0.64100000000000001</v>
      </c>
      <c r="J37" s="93">
        <v>0.68700000000000006</v>
      </c>
      <c r="K37" s="93">
        <v>0.58199999999999996</v>
      </c>
      <c r="L37" s="94">
        <v>0.26500000000000001</v>
      </c>
    </row>
    <row r="39" spans="2:13" ht="15" thickBot="1" x14ac:dyDescent="0.35">
      <c r="B39" s="159" t="s">
        <v>81</v>
      </c>
    </row>
    <row r="40" spans="2:13" x14ac:dyDescent="0.3">
      <c r="B40" s="192" t="s">
        <v>61</v>
      </c>
      <c r="C40" s="193"/>
      <c r="D40" s="193"/>
      <c r="E40" s="193"/>
      <c r="F40" s="193"/>
      <c r="G40" s="193"/>
      <c r="H40" s="193"/>
      <c r="I40" s="193"/>
      <c r="J40" s="193"/>
      <c r="K40" s="193"/>
      <c r="L40" s="194"/>
    </row>
    <row r="41" spans="2:13" ht="15" thickBot="1" x14ac:dyDescent="0.35">
      <c r="B41" s="116" t="s">
        <v>67</v>
      </c>
      <c r="C41" s="117" t="s">
        <v>52</v>
      </c>
      <c r="D41" s="117" t="s">
        <v>54</v>
      </c>
      <c r="E41" s="117" t="s">
        <v>55</v>
      </c>
      <c r="F41" s="117" t="s">
        <v>56</v>
      </c>
      <c r="G41" s="117" t="s">
        <v>57</v>
      </c>
      <c r="H41" s="117" t="s">
        <v>58</v>
      </c>
      <c r="I41" s="117" t="s">
        <v>59</v>
      </c>
      <c r="J41" s="117" t="s">
        <v>60</v>
      </c>
      <c r="K41" s="117" t="s">
        <v>65</v>
      </c>
      <c r="L41" s="118" t="s">
        <v>66</v>
      </c>
    </row>
    <row r="42" spans="2:13" x14ac:dyDescent="0.3">
      <c r="B42" s="86">
        <v>0.4</v>
      </c>
      <c r="C42" s="71">
        <v>5.0000000000000001E-4</v>
      </c>
      <c r="D42" s="71">
        <v>1.4E-3</v>
      </c>
      <c r="E42" s="71">
        <v>2.0999999999999999E-3</v>
      </c>
      <c r="F42" s="71">
        <v>6.9999999999999999E-4</v>
      </c>
      <c r="G42" s="71">
        <v>-4.1999999999999997E-3</v>
      </c>
      <c r="H42" s="71">
        <v>-1.4999999999999999E-2</v>
      </c>
      <c r="I42" s="71">
        <v>-3.0200000000000001E-2</v>
      </c>
      <c r="J42" s="71">
        <v>-5.2900000000000003E-2</v>
      </c>
      <c r="K42" s="71">
        <v>-8.1600000000000006E-2</v>
      </c>
      <c r="L42" s="96">
        <v>-0.1205</v>
      </c>
    </row>
    <row r="43" spans="2:13" x14ac:dyDescent="0.3">
      <c r="B43" s="86">
        <v>0.8</v>
      </c>
      <c r="C43" s="71">
        <v>1.1000000000000001E-3</v>
      </c>
      <c r="D43" s="71">
        <v>3.7000000000000002E-3</v>
      </c>
      <c r="E43" s="72">
        <v>6.3E-3</v>
      </c>
      <c r="F43" s="72">
        <v>8.0000000000000002E-3</v>
      </c>
      <c r="G43" s="72">
        <v>7.0000000000000001E-3</v>
      </c>
      <c r="H43" s="72">
        <v>2.3E-3</v>
      </c>
      <c r="I43" s="72">
        <v>-6.7999999999999996E-3</v>
      </c>
      <c r="J43" s="72">
        <v>-2.24E-2</v>
      </c>
      <c r="K43" s="72">
        <v>-4.65E-2</v>
      </c>
      <c r="L43" s="96">
        <v>-7.9500000000000001E-2</v>
      </c>
    </row>
    <row r="44" spans="2:13" x14ac:dyDescent="0.3">
      <c r="B44" s="86">
        <v>1.2</v>
      </c>
      <c r="C44" s="71">
        <v>1.1999999999999999E-3</v>
      </c>
      <c r="D44" s="71">
        <v>4.1999999999999997E-3</v>
      </c>
      <c r="E44" s="72">
        <v>7.7000000000000002E-3</v>
      </c>
      <c r="F44" s="72">
        <v>1.03E-2</v>
      </c>
      <c r="G44" s="72">
        <v>1.12E-2</v>
      </c>
      <c r="H44" s="72">
        <v>8.9999999999999993E-3</v>
      </c>
      <c r="I44" s="72">
        <v>2.2000000000000001E-3</v>
      </c>
      <c r="J44" s="72">
        <v>-1.0800000000000001E-2</v>
      </c>
      <c r="K44" s="72">
        <v>-3.1099999999999999E-2</v>
      </c>
      <c r="L44" s="96">
        <v>-6.0199999999999997E-2</v>
      </c>
    </row>
    <row r="45" spans="2:13" x14ac:dyDescent="0.3">
      <c r="B45" s="86">
        <v>1.6</v>
      </c>
      <c r="C45" s="72">
        <v>1.1000000000000001E-3</v>
      </c>
      <c r="D45" s="72">
        <v>4.1000000000000003E-3</v>
      </c>
      <c r="E45" s="72">
        <v>7.4999999999999997E-3</v>
      </c>
      <c r="F45" s="72">
        <v>1.0699999999999999E-2</v>
      </c>
      <c r="G45" s="72">
        <v>1.21E-2</v>
      </c>
      <c r="H45" s="72">
        <v>1.11E-2</v>
      </c>
      <c r="I45" s="72">
        <v>5.7999999999999996E-3</v>
      </c>
      <c r="J45" s="72">
        <v>-5.1000000000000004E-3</v>
      </c>
      <c r="K45" s="72">
        <v>-2.3199999999999998E-2</v>
      </c>
      <c r="L45" s="96">
        <v>-5.0500000000000003E-2</v>
      </c>
    </row>
    <row r="46" spans="2:13" x14ac:dyDescent="0.3">
      <c r="B46" s="88">
        <v>2</v>
      </c>
      <c r="C46" s="73">
        <v>1E-3</v>
      </c>
      <c r="D46" s="73">
        <v>3.5000000000000001E-3</v>
      </c>
      <c r="E46" s="73">
        <v>6.7999999999999996E-3</v>
      </c>
      <c r="F46" s="73">
        <v>9.9000000000000008E-3</v>
      </c>
      <c r="G46" s="73">
        <v>1.2E-2</v>
      </c>
      <c r="H46" s="73">
        <v>1.15E-2</v>
      </c>
      <c r="I46" s="73">
        <v>7.4999999999999997E-3</v>
      </c>
      <c r="J46" s="73">
        <v>-2.0999999999999999E-3</v>
      </c>
      <c r="K46" s="73">
        <v>-1.8499999999999999E-2</v>
      </c>
      <c r="L46" s="97">
        <v>-4.36E-2</v>
      </c>
    </row>
    <row r="47" spans="2:13" x14ac:dyDescent="0.3">
      <c r="B47" s="84">
        <v>3</v>
      </c>
      <c r="C47" s="70">
        <v>5.9999999999999995E-4</v>
      </c>
      <c r="D47" s="70">
        <v>2.3999999999999998E-3</v>
      </c>
      <c r="E47" s="70">
        <v>4.7000000000000002E-3</v>
      </c>
      <c r="F47" s="70">
        <v>7.1000000000000004E-3</v>
      </c>
      <c r="G47" s="70">
        <v>8.9999999999999993E-3</v>
      </c>
      <c r="H47" s="70">
        <v>9.7000000000000003E-3</v>
      </c>
      <c r="I47" s="70">
        <v>7.7000000000000002E-3</v>
      </c>
      <c r="J47" s="70">
        <v>1.1999999999999999E-3</v>
      </c>
      <c r="K47" s="70">
        <v>-1.1900000000000001E-2</v>
      </c>
      <c r="L47" s="95">
        <v>-3.3300000000000003E-2</v>
      </c>
    </row>
    <row r="48" spans="2:13" x14ac:dyDescent="0.3">
      <c r="B48" s="86">
        <v>4</v>
      </c>
      <c r="C48" s="71">
        <v>2.9999999999999997E-4</v>
      </c>
      <c r="D48" s="71">
        <v>1.5E-3</v>
      </c>
      <c r="E48" s="72">
        <v>2.8E-3</v>
      </c>
      <c r="F48" s="72">
        <v>4.7000000000000002E-3</v>
      </c>
      <c r="G48" s="72">
        <v>6.6E-3</v>
      </c>
      <c r="H48" s="72">
        <v>7.7000000000000002E-3</v>
      </c>
      <c r="I48" s="72">
        <v>6.8999999999999999E-3</v>
      </c>
      <c r="J48" s="72">
        <v>2.3E-3</v>
      </c>
      <c r="K48" s="72">
        <v>-8.0000000000000002E-3</v>
      </c>
      <c r="L48" s="96">
        <v>-2.6800000000000001E-2</v>
      </c>
    </row>
    <row r="49" spans="2:14" x14ac:dyDescent="0.3">
      <c r="B49" s="86">
        <v>5</v>
      </c>
      <c r="C49" s="71">
        <v>2.0000000000000001E-4</v>
      </c>
      <c r="D49" s="71">
        <v>8.0000000000000004E-4</v>
      </c>
      <c r="E49" s="72">
        <v>1.6000000000000001E-3</v>
      </c>
      <c r="F49" s="72">
        <v>2.8999999999999998E-3</v>
      </c>
      <c r="G49" s="72">
        <v>4.5999999999999999E-3</v>
      </c>
      <c r="H49" s="72">
        <v>5.8999999999999999E-3</v>
      </c>
      <c r="I49" s="72">
        <v>5.8999999999999999E-3</v>
      </c>
      <c r="J49" s="72">
        <v>2.8E-3</v>
      </c>
      <c r="K49" s="72">
        <v>-5.7999999999999996E-3</v>
      </c>
      <c r="L49" s="96">
        <v>-2.2200000000000001E-2</v>
      </c>
    </row>
    <row r="50" spans="2:14" x14ac:dyDescent="0.3">
      <c r="B50" s="86">
        <v>6</v>
      </c>
      <c r="C50" s="72">
        <v>1E-4</v>
      </c>
      <c r="D50" s="72">
        <v>2.9999999999999997E-4</v>
      </c>
      <c r="E50" s="72">
        <v>8.0000000000000004E-4</v>
      </c>
      <c r="F50" s="72">
        <v>1.9E-3</v>
      </c>
      <c r="G50" s="72">
        <v>3.2000000000000002E-3</v>
      </c>
      <c r="H50" s="72">
        <v>4.5999999999999999E-3</v>
      </c>
      <c r="I50" s="72">
        <v>5.1000000000000004E-3</v>
      </c>
      <c r="J50" s="72">
        <v>2.8999999999999998E-3</v>
      </c>
      <c r="K50" s="72">
        <v>-4.1000000000000003E-3</v>
      </c>
      <c r="L50" s="96">
        <v>-1.8700000000000001E-2</v>
      </c>
    </row>
    <row r="51" spans="2:14" x14ac:dyDescent="0.3">
      <c r="B51" s="88">
        <v>8</v>
      </c>
      <c r="C51" s="73">
        <v>0</v>
      </c>
      <c r="D51" s="73">
        <v>1E-4</v>
      </c>
      <c r="E51" s="73">
        <v>2.0000000000000001E-4</v>
      </c>
      <c r="F51" s="73">
        <v>8.0000000000000004E-4</v>
      </c>
      <c r="G51" s="73">
        <v>1.6000000000000001E-3</v>
      </c>
      <c r="H51" s="73">
        <v>2.8E-3</v>
      </c>
      <c r="I51" s="73">
        <v>3.8E-3</v>
      </c>
      <c r="J51" s="73">
        <v>2.8999999999999998E-3</v>
      </c>
      <c r="K51" s="73">
        <v>-2.2000000000000001E-3</v>
      </c>
      <c r="L51" s="97">
        <v>-1.46E-2</v>
      </c>
    </row>
    <row r="52" spans="2:14" x14ac:dyDescent="0.3">
      <c r="B52" s="86">
        <v>9</v>
      </c>
      <c r="C52" s="71">
        <f>($B$52-$B$51)/($B$53-$B$51)*(C53-C51)+C51</f>
        <v>0</v>
      </c>
      <c r="D52" s="71">
        <f t="shared" ref="D52:K52" si="6">($B$52-$B$51)/($B$53-$B$51)*(D53-D51)+D51</f>
        <v>5.0000000000000002E-5</v>
      </c>
      <c r="E52" s="71">
        <f t="shared" si="6"/>
        <v>1.5000000000000001E-4</v>
      </c>
      <c r="F52" s="71">
        <f t="shared" si="6"/>
        <v>6.0000000000000006E-4</v>
      </c>
      <c r="G52" s="71">
        <f t="shared" si="6"/>
        <v>1.15E-3</v>
      </c>
      <c r="H52" s="71">
        <f t="shared" si="6"/>
        <v>2.3500000000000001E-3</v>
      </c>
      <c r="I52" s="71">
        <f t="shared" si="6"/>
        <v>3.3499999999999997E-3</v>
      </c>
      <c r="J52" s="71">
        <f>($B$52-$B$51)/($B$53-$B$51)*(J53-J51)+J51</f>
        <v>2.8500000000000001E-3</v>
      </c>
      <c r="K52" s="71">
        <f t="shared" si="6"/>
        <v>-1.7000000000000001E-3</v>
      </c>
      <c r="L52" s="96">
        <f>($B$52-$B$51)/($B$53-$B$51)*(L53-L51)+L51</f>
        <v>-1.34E-2</v>
      </c>
    </row>
    <row r="53" spans="2:14" x14ac:dyDescent="0.3">
      <c r="B53" s="144">
        <v>10</v>
      </c>
      <c r="C53" s="145">
        <v>0</v>
      </c>
      <c r="D53" s="145">
        <v>0</v>
      </c>
      <c r="E53" s="145">
        <v>1E-4</v>
      </c>
      <c r="F53" s="145">
        <v>4.0000000000000002E-4</v>
      </c>
      <c r="G53" s="145">
        <v>6.9999999999999999E-4</v>
      </c>
      <c r="H53" s="145">
        <v>1.9E-3</v>
      </c>
      <c r="I53" s="145">
        <v>2.8999999999999998E-3</v>
      </c>
      <c r="J53" s="145">
        <v>2.8E-3</v>
      </c>
      <c r="K53" s="145">
        <v>-1.1999999999999999E-3</v>
      </c>
      <c r="L53" s="146">
        <v>-1.2200000000000001E-2</v>
      </c>
    </row>
    <row r="54" spans="2:14" x14ac:dyDescent="0.3">
      <c r="B54" s="147">
        <v>11</v>
      </c>
      <c r="C54" s="72">
        <f>($B$54-$B$53)/($B$55-$B$53)*(C55-C53)+C53</f>
        <v>0</v>
      </c>
      <c r="D54" s="72">
        <f t="shared" ref="D54:L54" si="7">($B$54-$B$53)/($B$55-$B$53)*(D55-D53)+D53</f>
        <v>0</v>
      </c>
      <c r="E54" s="72">
        <f t="shared" si="7"/>
        <v>1E-4</v>
      </c>
      <c r="F54" s="72">
        <f t="shared" si="7"/>
        <v>3.0000000000000003E-4</v>
      </c>
      <c r="G54" s="72">
        <f t="shared" si="7"/>
        <v>5.0000000000000001E-4</v>
      </c>
      <c r="H54" s="72">
        <f t="shared" si="7"/>
        <v>1.5999999999999999E-3</v>
      </c>
      <c r="I54" s="72">
        <f t="shared" si="7"/>
        <v>2.5999999999999999E-3</v>
      </c>
      <c r="J54" s="72">
        <f t="shared" si="7"/>
        <v>2.7000000000000001E-3</v>
      </c>
      <c r="K54" s="72">
        <f t="shared" si="7"/>
        <v>-8.4999999999999995E-4</v>
      </c>
      <c r="L54" s="148">
        <f t="shared" si="7"/>
        <v>-1.1300000000000001E-2</v>
      </c>
    </row>
    <row r="55" spans="2:14" x14ac:dyDescent="0.3">
      <c r="B55" s="147">
        <v>12</v>
      </c>
      <c r="C55" s="72">
        <v>0</v>
      </c>
      <c r="D55" s="72">
        <v>0</v>
      </c>
      <c r="E55" s="72">
        <v>1E-4</v>
      </c>
      <c r="F55" s="72">
        <v>2.0000000000000001E-4</v>
      </c>
      <c r="G55" s="72">
        <v>2.9999999999999997E-4</v>
      </c>
      <c r="H55" s="72">
        <v>1.2999999999999999E-3</v>
      </c>
      <c r="I55" s="72">
        <v>2.3E-3</v>
      </c>
      <c r="J55" s="72">
        <v>2.5999999999999999E-3</v>
      </c>
      <c r="K55" s="72">
        <v>-5.0000000000000001E-4</v>
      </c>
      <c r="L55" s="148">
        <v>-1.04E-2</v>
      </c>
    </row>
    <row r="56" spans="2:14" x14ac:dyDescent="0.3">
      <c r="B56" s="147">
        <v>13</v>
      </c>
      <c r="C56" s="72">
        <f>($B$56-$B$55)/($B$57-$B$55)*(C57-C55)+C55</f>
        <v>0</v>
      </c>
      <c r="D56" s="72">
        <f t="shared" ref="D56:L56" si="8">($B$56-$B$55)/($B$57-$B$55)*(D57-D55)+D55</f>
        <v>0</v>
      </c>
      <c r="E56" s="72">
        <f t="shared" si="8"/>
        <v>5.0000000000000002E-5</v>
      </c>
      <c r="F56" s="72">
        <f t="shared" si="8"/>
        <v>1E-4</v>
      </c>
      <c r="G56" s="72">
        <f t="shared" si="8"/>
        <v>1.9999999999999998E-4</v>
      </c>
      <c r="H56" s="72">
        <f t="shared" si="8"/>
        <v>1.0499999999999999E-3</v>
      </c>
      <c r="I56" s="72">
        <f t="shared" si="8"/>
        <v>2.0999999999999999E-3</v>
      </c>
      <c r="J56" s="72">
        <f t="shared" si="8"/>
        <v>2.4499999999999999E-3</v>
      </c>
      <c r="K56" s="72">
        <f t="shared" si="8"/>
        <v>-3.0000000000000003E-4</v>
      </c>
      <c r="L56" s="148">
        <f t="shared" si="8"/>
        <v>-9.7000000000000003E-3</v>
      </c>
    </row>
    <row r="57" spans="2:14" x14ac:dyDescent="0.3">
      <c r="B57" s="147">
        <v>14</v>
      </c>
      <c r="C57" s="72">
        <v>0</v>
      </c>
      <c r="D57" s="72">
        <v>0</v>
      </c>
      <c r="E57" s="72">
        <v>0</v>
      </c>
      <c r="F57" s="72">
        <v>0</v>
      </c>
      <c r="G57" s="72">
        <v>1E-4</v>
      </c>
      <c r="H57" s="72">
        <v>8.0000000000000004E-4</v>
      </c>
      <c r="I57" s="72">
        <v>1.9E-3</v>
      </c>
      <c r="J57" s="72">
        <v>2.3E-3</v>
      </c>
      <c r="K57" s="72">
        <v>-1E-4</v>
      </c>
      <c r="L57" s="148">
        <v>-8.9999999999999993E-3</v>
      </c>
      <c r="M57" s="164"/>
      <c r="N57" s="164"/>
    </row>
    <row r="58" spans="2:14" x14ac:dyDescent="0.3">
      <c r="B58" s="147">
        <v>15</v>
      </c>
      <c r="C58" s="72">
        <f>($B$58-$B$57)/($B$59-$B$57)*(C59-C57)+C57</f>
        <v>0</v>
      </c>
      <c r="D58" s="72">
        <f t="shared" ref="D58:L58" si="9">($B$58-$B$57)/($B$59-$B$57)*(D59-D57)+D57</f>
        <v>0</v>
      </c>
      <c r="E58" s="72">
        <f t="shared" si="9"/>
        <v>-5.0000000000000002E-5</v>
      </c>
      <c r="F58" s="72">
        <f t="shared" si="9"/>
        <v>-1E-4</v>
      </c>
      <c r="G58" s="72">
        <f t="shared" si="9"/>
        <v>0</v>
      </c>
      <c r="H58" s="72">
        <f t="shared" si="9"/>
        <v>6.0000000000000006E-4</v>
      </c>
      <c r="I58" s="72">
        <f t="shared" si="9"/>
        <v>1.5999999999999999E-3</v>
      </c>
      <c r="J58" s="72">
        <f t="shared" si="9"/>
        <v>2.0999999999999999E-3</v>
      </c>
      <c r="K58" s="72">
        <f t="shared" si="9"/>
        <v>0</v>
      </c>
      <c r="L58" s="148">
        <f t="shared" si="9"/>
        <v>-8.4499999999999992E-3</v>
      </c>
    </row>
    <row r="59" spans="2:14" ht="15" thickBot="1" x14ac:dyDescent="0.35">
      <c r="B59" s="149">
        <v>16</v>
      </c>
      <c r="C59" s="150">
        <v>0</v>
      </c>
      <c r="D59" s="150">
        <v>0</v>
      </c>
      <c r="E59" s="150">
        <v>-1E-4</v>
      </c>
      <c r="F59" s="150">
        <v>-2.0000000000000001E-4</v>
      </c>
      <c r="G59" s="150">
        <v>-1E-4</v>
      </c>
      <c r="H59" s="150">
        <v>4.0000000000000002E-4</v>
      </c>
      <c r="I59" s="150">
        <v>1.2999999999999999E-3</v>
      </c>
      <c r="J59" s="150">
        <v>1.9E-3</v>
      </c>
      <c r="K59" s="150">
        <v>1E-4</v>
      </c>
      <c r="L59" s="151">
        <v>-7.9000000000000008E-3</v>
      </c>
    </row>
    <row r="61" spans="2:14" ht="15" thickBot="1" x14ac:dyDescent="0.35">
      <c r="B61" s="159" t="s">
        <v>82</v>
      </c>
    </row>
    <row r="62" spans="2:14" ht="15" thickBot="1" x14ac:dyDescent="0.35">
      <c r="B62" s="120" t="s">
        <v>83</v>
      </c>
      <c r="C62" s="121">
        <v>0</v>
      </c>
      <c r="D62" s="122">
        <v>1E-3</v>
      </c>
      <c r="E62" s="122">
        <v>2E-3</v>
      </c>
      <c r="F62" s="122">
        <v>3.0000000000000001E-3</v>
      </c>
      <c r="G62" s="122">
        <v>4.0000000000000001E-3</v>
      </c>
      <c r="H62" s="122">
        <v>5.0000000000000001E-3</v>
      </c>
      <c r="I62" s="122">
        <v>6.0000000000000001E-3</v>
      </c>
      <c r="J62" s="122">
        <v>7.0000000000000001E-3</v>
      </c>
      <c r="K62" s="122">
        <v>8.0000000000000002E-3</v>
      </c>
      <c r="L62" s="123">
        <v>8.9999999999999993E-3</v>
      </c>
    </row>
    <row r="63" spans="2:14" x14ac:dyDescent="0.3">
      <c r="B63" s="98">
        <v>0</v>
      </c>
      <c r="C63" s="75">
        <v>0</v>
      </c>
      <c r="D63" s="75">
        <v>1E-3</v>
      </c>
      <c r="E63" s="75">
        <v>2E-3</v>
      </c>
      <c r="F63" s="75">
        <v>3.0000000000000001E-3</v>
      </c>
      <c r="G63" s="75">
        <v>4.0000000000000001E-3</v>
      </c>
      <c r="H63" s="75">
        <v>5.0000000000000001E-3</v>
      </c>
      <c r="I63" s="75">
        <v>6.0000000000000001E-3</v>
      </c>
      <c r="J63" s="75">
        <v>7.0000000000000001E-3</v>
      </c>
      <c r="K63" s="75">
        <v>8.0000000000000002E-3</v>
      </c>
      <c r="L63" s="99">
        <v>8.9999999999999993E-3</v>
      </c>
    </row>
    <row r="64" spans="2:14" x14ac:dyDescent="0.3">
      <c r="B64" s="98">
        <v>0.01</v>
      </c>
      <c r="C64" s="75">
        <v>9.9000000000000008E-3</v>
      </c>
      <c r="D64" s="75">
        <v>1.09E-2</v>
      </c>
      <c r="E64" s="75">
        <v>1.1900000000000001E-2</v>
      </c>
      <c r="F64" s="75">
        <v>1.29E-2</v>
      </c>
      <c r="G64" s="75">
        <v>1.3899999999999999E-2</v>
      </c>
      <c r="H64" s="75">
        <v>1.49E-2</v>
      </c>
      <c r="I64" s="75">
        <v>1.5900000000000001E-2</v>
      </c>
      <c r="J64" s="75">
        <v>1.6799999999999999E-2</v>
      </c>
      <c r="K64" s="75">
        <v>1.78E-2</v>
      </c>
      <c r="L64" s="99">
        <v>1.8800000000000001E-2</v>
      </c>
    </row>
    <row r="65" spans="2:12" x14ac:dyDescent="0.3">
      <c r="B65" s="98">
        <v>0.02</v>
      </c>
      <c r="C65" s="75">
        <v>1.9699999999999999E-2</v>
      </c>
      <c r="D65" s="75">
        <v>2.07E-2</v>
      </c>
      <c r="E65" s="75">
        <v>2.1700000000000001E-2</v>
      </c>
      <c r="F65" s="75">
        <v>2.2599999999999999E-2</v>
      </c>
      <c r="G65" s="75">
        <v>2.3599999999999999E-2</v>
      </c>
      <c r="H65" s="75">
        <v>2.4799999999999999E-2</v>
      </c>
      <c r="I65" s="75">
        <v>2.58E-2</v>
      </c>
      <c r="J65" s="75">
        <v>2.6599999999999999E-2</v>
      </c>
      <c r="K65" s="75">
        <v>2.75E-2</v>
      </c>
      <c r="L65" s="99">
        <v>2.8500000000000001E-2</v>
      </c>
    </row>
    <row r="66" spans="2:12" x14ac:dyDescent="0.3">
      <c r="B66" s="98">
        <v>0.03</v>
      </c>
      <c r="C66" s="75">
        <v>2.9499999999999998E-2</v>
      </c>
      <c r="D66" s="75">
        <v>3.04E-2</v>
      </c>
      <c r="E66" s="75">
        <v>3.1399999999999997E-2</v>
      </c>
      <c r="F66" s="75">
        <v>3.2399999999999998E-2</v>
      </c>
      <c r="G66" s="75">
        <v>3.3300000000000003E-2</v>
      </c>
      <c r="H66" s="75">
        <v>3.4299999999999997E-2</v>
      </c>
      <c r="I66" s="75">
        <v>3.5200000000000002E-2</v>
      </c>
      <c r="J66" s="75">
        <v>3.6200000000000003E-2</v>
      </c>
      <c r="K66" s="75">
        <v>3.7199999999999997E-2</v>
      </c>
      <c r="L66" s="99">
        <v>3.8100000000000002E-2</v>
      </c>
    </row>
    <row r="67" spans="2:12" x14ac:dyDescent="0.3">
      <c r="B67" s="98">
        <v>0.04</v>
      </c>
      <c r="C67" s="75">
        <v>3.9100000000000003E-2</v>
      </c>
      <c r="D67" s="75">
        <v>0.04</v>
      </c>
      <c r="E67" s="75">
        <v>4.1000000000000002E-2</v>
      </c>
      <c r="F67" s="75">
        <v>4.2000000000000003E-2</v>
      </c>
      <c r="G67" s="75">
        <v>4.2900000000000001E-2</v>
      </c>
      <c r="H67" s="75">
        <v>4.3799999999999999E-2</v>
      </c>
      <c r="I67" s="75">
        <v>4.48E-2</v>
      </c>
      <c r="J67" s="75">
        <v>4.5699999999999998E-2</v>
      </c>
      <c r="K67" s="75">
        <v>4.6699999999999998E-2</v>
      </c>
      <c r="L67" s="99">
        <v>4.7800000000000002E-2</v>
      </c>
    </row>
    <row r="68" spans="2:12" x14ac:dyDescent="0.3">
      <c r="B68" s="98">
        <v>0.05</v>
      </c>
      <c r="C68" s="75">
        <v>1.8599999999999998E-2</v>
      </c>
      <c r="D68" s="75">
        <v>4.9500000000000002E-2</v>
      </c>
      <c r="E68" s="75">
        <v>5.04E-2</v>
      </c>
      <c r="F68" s="75">
        <v>5.1299999999999998E-2</v>
      </c>
      <c r="G68" s="75">
        <v>5.2299999999999999E-2</v>
      </c>
      <c r="H68" s="75">
        <v>5.3199999999999997E-2</v>
      </c>
      <c r="I68" s="75">
        <v>5.4100000000000002E-2</v>
      </c>
      <c r="J68" s="75">
        <v>5.5100000000000003E-2</v>
      </c>
      <c r="K68" s="75">
        <v>5.6000000000000001E-2</v>
      </c>
      <c r="L68" s="99">
        <v>5.6899999999999999E-2</v>
      </c>
    </row>
    <row r="69" spans="2:12" x14ac:dyDescent="0.3">
      <c r="B69" s="98">
        <v>0.06</v>
      </c>
      <c r="C69" s="75">
        <v>5.79E-2</v>
      </c>
      <c r="D69" s="75">
        <v>5.8799999999999998E-2</v>
      </c>
      <c r="E69" s="75">
        <v>5.9700000000000003E-2</v>
      </c>
      <c r="F69" s="75">
        <v>6.0699999999999997E-2</v>
      </c>
      <c r="G69" s="75">
        <v>6.1600000000000002E-2</v>
      </c>
      <c r="H69" s="75">
        <v>6.25E-2</v>
      </c>
      <c r="I69" s="75">
        <v>6.3399999999999998E-2</v>
      </c>
      <c r="J69" s="75">
        <v>6.4299999999999996E-2</v>
      </c>
      <c r="K69" s="75">
        <v>6.5299999999999997E-2</v>
      </c>
      <c r="L69" s="99">
        <v>6.6199999999999995E-2</v>
      </c>
    </row>
    <row r="70" spans="2:12" x14ac:dyDescent="0.3">
      <c r="B70" s="98">
        <v>7.0000000000000007E-2</v>
      </c>
      <c r="C70" s="75">
        <v>6.7100000000000007E-2</v>
      </c>
      <c r="D70" s="75">
        <v>6.8000000000000005E-2</v>
      </c>
      <c r="E70" s="75">
        <v>6.8900000000000003E-2</v>
      </c>
      <c r="F70" s="75">
        <v>6.9900000000000004E-2</v>
      </c>
      <c r="G70" s="75">
        <v>7.0800000000000002E-2</v>
      </c>
      <c r="H70" s="75">
        <v>1.17E-2</v>
      </c>
      <c r="I70" s="75">
        <v>7.2800000000000004E-2</v>
      </c>
      <c r="J70" s="75">
        <v>7.3499999999999996E-2</v>
      </c>
      <c r="K70" s="75">
        <v>7.4399999999999994E-2</v>
      </c>
      <c r="L70" s="99">
        <v>7.5300000000000006E-2</v>
      </c>
    </row>
    <row r="71" spans="2:12" x14ac:dyDescent="0.3">
      <c r="B71" s="98">
        <v>0.08</v>
      </c>
      <c r="C71" s="75">
        <v>7.6200000000000004E-2</v>
      </c>
      <c r="D71" s="75">
        <v>7.7100000000000002E-2</v>
      </c>
      <c r="E71" s="75">
        <v>7.8E-2</v>
      </c>
      <c r="F71" s="75">
        <v>7.8899999999999998E-2</v>
      </c>
      <c r="G71" s="75">
        <v>7.9799999999999996E-2</v>
      </c>
      <c r="H71" s="75">
        <v>8.0699999999999994E-2</v>
      </c>
      <c r="I71" s="75">
        <v>8.1600000000000006E-2</v>
      </c>
      <c r="J71" s="75">
        <v>8.2500000000000004E-2</v>
      </c>
      <c r="K71" s="75">
        <v>8.3400000000000002E-2</v>
      </c>
      <c r="L71" s="99">
        <v>8.43E-2</v>
      </c>
    </row>
    <row r="72" spans="2:12" x14ac:dyDescent="0.3">
      <c r="B72" s="98">
        <v>0.09</v>
      </c>
      <c r="C72" s="75">
        <v>8.5199999999999998E-2</v>
      </c>
      <c r="D72" s="75">
        <v>8.6099999999999996E-2</v>
      </c>
      <c r="E72" s="75">
        <v>8.6999999999999994E-2</v>
      </c>
      <c r="F72" s="75">
        <v>8.7900000000000006E-2</v>
      </c>
      <c r="G72" s="75">
        <v>8.8800000000000004E-2</v>
      </c>
      <c r="H72" s="75">
        <v>8.9700000000000002E-2</v>
      </c>
      <c r="I72" s="75">
        <v>9.06E-2</v>
      </c>
      <c r="J72" s="75">
        <v>9.1499999999999998E-2</v>
      </c>
      <c r="K72" s="75">
        <v>9.2299999999999993E-2</v>
      </c>
      <c r="L72" s="99">
        <v>9.3200000000000005E-2</v>
      </c>
    </row>
    <row r="73" spans="2:12" x14ac:dyDescent="0.3">
      <c r="B73" s="98">
        <v>0.1</v>
      </c>
      <c r="C73" s="75">
        <v>9.4100000000000003E-2</v>
      </c>
      <c r="D73" s="75">
        <v>9.5000000000000001E-2</v>
      </c>
      <c r="E73" s="75">
        <v>9.5799999999999996E-2</v>
      </c>
      <c r="F73" s="75">
        <v>9.6699999999999994E-2</v>
      </c>
      <c r="G73" s="75">
        <v>9.7600000000000006E-2</v>
      </c>
      <c r="H73" s="75">
        <v>9.8500000000000004E-2</v>
      </c>
      <c r="I73" s="75">
        <v>9.9400000000000002E-2</v>
      </c>
      <c r="J73" s="75">
        <v>0.1002</v>
      </c>
      <c r="K73" s="75">
        <v>0.1011</v>
      </c>
      <c r="L73" s="99">
        <v>0.10199999999999999</v>
      </c>
    </row>
    <row r="74" spans="2:12" x14ac:dyDescent="0.3">
      <c r="B74" s="98">
        <v>0.11</v>
      </c>
      <c r="C74" s="75">
        <v>0.10290000000000001</v>
      </c>
      <c r="D74" s="75">
        <v>0.10337</v>
      </c>
      <c r="E74" s="75">
        <v>0.1046</v>
      </c>
      <c r="F74" s="75">
        <v>0.1055</v>
      </c>
      <c r="G74" s="75">
        <v>0.10630000000000001</v>
      </c>
      <c r="H74" s="75">
        <v>0.1072</v>
      </c>
      <c r="I74" s="75">
        <v>0.1081</v>
      </c>
      <c r="J74" s="75">
        <v>0.1089</v>
      </c>
      <c r="K74" s="75">
        <v>0.10979999999999999</v>
      </c>
      <c r="L74" s="99">
        <v>0.1106</v>
      </c>
    </row>
    <row r="75" spans="2:12" x14ac:dyDescent="0.3">
      <c r="B75" s="98">
        <v>0.12</v>
      </c>
      <c r="C75" s="75">
        <v>0.1115</v>
      </c>
      <c r="D75" s="75">
        <v>0.1124</v>
      </c>
      <c r="E75" s="75">
        <v>0.1133</v>
      </c>
      <c r="F75" s="75">
        <v>0.11409999999999999</v>
      </c>
      <c r="G75" s="75">
        <v>0.1149</v>
      </c>
      <c r="H75" s="75">
        <v>0.1158</v>
      </c>
      <c r="I75" s="75">
        <v>0.1166</v>
      </c>
      <c r="J75" s="75">
        <v>0.11749999999999999</v>
      </c>
      <c r="K75" s="75">
        <v>0.1183</v>
      </c>
      <c r="L75" s="99">
        <v>0.1192</v>
      </c>
    </row>
    <row r="76" spans="2:12" x14ac:dyDescent="0.3">
      <c r="B76" s="98">
        <v>0.13</v>
      </c>
      <c r="C76" s="75">
        <v>0.12</v>
      </c>
      <c r="D76" s="75">
        <v>0.12089999999999999</v>
      </c>
      <c r="E76" s="75">
        <v>0.1217</v>
      </c>
      <c r="F76" s="75"/>
      <c r="G76" s="75"/>
      <c r="H76" s="75"/>
      <c r="I76" s="75"/>
      <c r="J76" s="75"/>
      <c r="K76" s="75"/>
      <c r="L76" s="99"/>
    </row>
    <row r="77" spans="2:12" x14ac:dyDescent="0.3">
      <c r="B77" s="98">
        <v>0.14000000000000001</v>
      </c>
      <c r="C77" s="75">
        <v>0.12839999999999999</v>
      </c>
      <c r="D77" s="75">
        <v>0.1293</v>
      </c>
      <c r="E77" s="75">
        <v>0.13009999999999999</v>
      </c>
      <c r="F77" s="75"/>
      <c r="G77" s="75"/>
      <c r="H77" s="75"/>
      <c r="I77" s="75"/>
      <c r="J77" s="75"/>
      <c r="K77" s="75"/>
      <c r="L77" s="99"/>
    </row>
    <row r="78" spans="2:12" x14ac:dyDescent="0.3">
      <c r="B78" s="98">
        <v>0.15</v>
      </c>
      <c r="C78" s="75">
        <v>0.13869999999999999</v>
      </c>
      <c r="D78" s="75">
        <v>0.13569999999999999</v>
      </c>
      <c r="E78" s="75">
        <v>0.1384</v>
      </c>
      <c r="F78" s="75"/>
      <c r="G78" s="75"/>
      <c r="H78" s="75"/>
      <c r="I78" s="75"/>
      <c r="J78" s="75"/>
      <c r="K78" s="75"/>
      <c r="L78" s="99"/>
    </row>
    <row r="79" spans="2:12" x14ac:dyDescent="0.3">
      <c r="B79" s="98">
        <v>0.16</v>
      </c>
      <c r="C79" s="75">
        <v>0.1449</v>
      </c>
      <c r="D79" s="75">
        <v>0.1457</v>
      </c>
      <c r="E79" s="75">
        <v>0.14849999999999999</v>
      </c>
      <c r="F79" s="75"/>
      <c r="G79" s="75"/>
      <c r="H79" s="75"/>
      <c r="I79" s="75"/>
      <c r="J79" s="75"/>
      <c r="K79" s="75"/>
      <c r="L79" s="99"/>
    </row>
    <row r="80" spans="2:12" x14ac:dyDescent="0.3">
      <c r="B80" s="98">
        <v>0.17</v>
      </c>
      <c r="C80" s="75">
        <v>0.152</v>
      </c>
      <c r="D80" s="75">
        <v>0.1537</v>
      </c>
      <c r="E80" s="75">
        <v>0.1545</v>
      </c>
      <c r="F80" s="75"/>
      <c r="G80" s="75"/>
      <c r="H80" s="75"/>
      <c r="I80" s="75"/>
      <c r="J80" s="75"/>
      <c r="K80" s="75"/>
      <c r="L80" s="99"/>
    </row>
    <row r="81" spans="2:12" x14ac:dyDescent="0.3">
      <c r="B81" s="98">
        <v>0.18</v>
      </c>
      <c r="C81" s="75">
        <v>0.16089999999999999</v>
      </c>
      <c r="D81" s="75">
        <v>0.16170000000000001</v>
      </c>
      <c r="E81" s="75">
        <v>0.16239999999999999</v>
      </c>
      <c r="F81" s="75"/>
      <c r="G81" s="75"/>
      <c r="H81" s="75"/>
      <c r="I81" s="75"/>
      <c r="J81" s="75"/>
      <c r="K81" s="75"/>
      <c r="L81" s="99"/>
    </row>
    <row r="82" spans="2:12" x14ac:dyDescent="0.3">
      <c r="B82" s="98">
        <v>0.19</v>
      </c>
      <c r="C82" s="75">
        <v>0.16869999999999999</v>
      </c>
      <c r="D82" s="75">
        <v>0.16950000000000001</v>
      </c>
      <c r="E82" s="75">
        <v>0.17030000000000001</v>
      </c>
      <c r="F82" s="75"/>
      <c r="G82" s="75"/>
      <c r="H82" s="75"/>
      <c r="I82" s="75"/>
      <c r="J82" s="75"/>
      <c r="K82" s="75"/>
      <c r="L82" s="99"/>
    </row>
    <row r="83" spans="2:12" ht="15" thickBot="1" x14ac:dyDescent="0.35">
      <c r="B83" s="100">
        <v>0.2</v>
      </c>
      <c r="C83" s="101">
        <v>0.1784</v>
      </c>
      <c r="D83" s="101">
        <v>0.1772</v>
      </c>
      <c r="E83" s="101">
        <v>0.17780000000000001</v>
      </c>
      <c r="F83" s="102"/>
      <c r="G83" s="102"/>
      <c r="H83" s="102"/>
      <c r="I83" s="102"/>
      <c r="J83" s="102"/>
      <c r="K83" s="102"/>
      <c r="L83" s="103"/>
    </row>
    <row r="84" spans="2:12" x14ac:dyDescent="0.3">
      <c r="B84" s="74"/>
    </row>
    <row r="85" spans="2:12" x14ac:dyDescent="0.3">
      <c r="B85" s="74"/>
    </row>
    <row r="86" spans="2:12" ht="15" thickBot="1" x14ac:dyDescent="0.35">
      <c r="B86" s="159" t="s">
        <v>84</v>
      </c>
    </row>
    <row r="87" spans="2:12" x14ac:dyDescent="0.3">
      <c r="B87" s="201" t="s">
        <v>67</v>
      </c>
      <c r="C87" s="195" t="s">
        <v>74</v>
      </c>
      <c r="D87" s="195" t="s">
        <v>75</v>
      </c>
      <c r="E87" s="195" t="s">
        <v>76</v>
      </c>
      <c r="F87" s="198" t="s">
        <v>77</v>
      </c>
    </row>
    <row r="88" spans="2:12" x14ac:dyDescent="0.3">
      <c r="B88" s="202"/>
      <c r="C88" s="196"/>
      <c r="D88" s="196"/>
      <c r="E88" s="196"/>
      <c r="F88" s="199"/>
    </row>
    <row r="89" spans="2:12" ht="15" thickBot="1" x14ac:dyDescent="0.35">
      <c r="B89" s="203"/>
      <c r="C89" s="197"/>
      <c r="D89" s="197" t="s">
        <v>54</v>
      </c>
      <c r="E89" s="197" t="s">
        <v>55</v>
      </c>
      <c r="F89" s="200" t="s">
        <v>56</v>
      </c>
      <c r="G89" s="16"/>
      <c r="H89" s="16"/>
      <c r="I89" s="16"/>
      <c r="J89" s="16"/>
      <c r="K89" s="16"/>
      <c r="L89" s="16"/>
    </row>
    <row r="90" spans="2:12" x14ac:dyDescent="0.3">
      <c r="B90" s="106">
        <v>0.4</v>
      </c>
      <c r="C90" s="39">
        <v>0.436</v>
      </c>
      <c r="D90" s="39">
        <v>0.755</v>
      </c>
      <c r="E90" s="39">
        <v>0.245</v>
      </c>
      <c r="F90" s="107">
        <v>-1.58</v>
      </c>
      <c r="G90" s="16"/>
      <c r="H90" s="16"/>
      <c r="I90" s="16"/>
      <c r="J90" s="16"/>
      <c r="K90" s="16"/>
      <c r="L90" s="16"/>
    </row>
    <row r="91" spans="2:12" x14ac:dyDescent="0.3">
      <c r="B91" s="106">
        <v>0.8</v>
      </c>
      <c r="C91" s="39">
        <v>0.374</v>
      </c>
      <c r="D91" s="39">
        <v>0.55200000000000005</v>
      </c>
      <c r="E91" s="40">
        <v>0.23400000000000001</v>
      </c>
      <c r="F91" s="107">
        <v>-1.75</v>
      </c>
      <c r="G91" s="16"/>
      <c r="H91" s="16"/>
      <c r="I91" s="16"/>
      <c r="J91" s="16"/>
      <c r="K91" s="16"/>
      <c r="L91" s="16"/>
    </row>
    <row r="92" spans="2:12" x14ac:dyDescent="0.3">
      <c r="B92" s="106">
        <v>1.2</v>
      </c>
      <c r="C92" s="39">
        <v>0.33900000000000002</v>
      </c>
      <c r="D92" s="39">
        <v>0.46</v>
      </c>
      <c r="E92" s="40">
        <v>0.22</v>
      </c>
      <c r="F92" s="107">
        <v>-2</v>
      </c>
      <c r="G92" s="16"/>
      <c r="H92" s="16"/>
      <c r="I92" s="16"/>
      <c r="J92" s="16"/>
      <c r="K92" s="16"/>
      <c r="L92" s="16"/>
    </row>
    <row r="93" spans="2:12" x14ac:dyDescent="0.3">
      <c r="B93" s="106">
        <v>1.6</v>
      </c>
      <c r="C93" s="40">
        <v>0.317</v>
      </c>
      <c r="D93" s="40">
        <v>0.40699999999999997</v>
      </c>
      <c r="E93" s="40">
        <v>0.20399999999999999</v>
      </c>
      <c r="F93" s="107">
        <v>-2.2799999999999998</v>
      </c>
      <c r="G93" s="16"/>
      <c r="H93" s="16"/>
      <c r="I93" s="16"/>
      <c r="J93" s="16"/>
      <c r="K93" s="16"/>
      <c r="L93" s="16"/>
    </row>
    <row r="94" spans="2:12" x14ac:dyDescent="0.3">
      <c r="B94" s="108">
        <v>2</v>
      </c>
      <c r="C94" s="41">
        <v>0.29899999999999999</v>
      </c>
      <c r="D94" s="41">
        <v>0.37</v>
      </c>
      <c r="E94" s="41">
        <v>0.189</v>
      </c>
      <c r="F94" s="109">
        <v>-2.57</v>
      </c>
      <c r="G94" s="16"/>
      <c r="H94" s="16"/>
      <c r="I94" s="16"/>
      <c r="J94" s="16"/>
      <c r="K94" s="16"/>
      <c r="L94" s="16"/>
    </row>
    <row r="95" spans="2:12" x14ac:dyDescent="0.3">
      <c r="B95" s="104">
        <v>3</v>
      </c>
      <c r="C95" s="66">
        <v>0.26200000000000001</v>
      </c>
      <c r="D95" s="66">
        <v>0.31</v>
      </c>
      <c r="E95" s="66">
        <v>0.158</v>
      </c>
      <c r="F95" s="105">
        <v>-3.18</v>
      </c>
      <c r="G95" s="58"/>
      <c r="H95" s="58"/>
      <c r="I95" s="58"/>
      <c r="J95" s="58"/>
      <c r="K95" s="58"/>
      <c r="L95" s="58"/>
    </row>
    <row r="96" spans="2:12" x14ac:dyDescent="0.3">
      <c r="B96" s="106">
        <v>4</v>
      </c>
      <c r="C96" s="39">
        <v>0.23599999999999999</v>
      </c>
      <c r="D96" s="39">
        <v>0.27100000000000002</v>
      </c>
      <c r="E96" s="40">
        <v>0.13700000000000001</v>
      </c>
      <c r="F96" s="110">
        <v>-3.68</v>
      </c>
      <c r="G96" s="58"/>
      <c r="H96" s="58"/>
      <c r="I96" s="58"/>
      <c r="J96" s="58"/>
      <c r="K96" s="58"/>
      <c r="L96" s="58"/>
    </row>
    <row r="97" spans="2:12" x14ac:dyDescent="0.3">
      <c r="B97" s="106">
        <v>5</v>
      </c>
      <c r="C97" s="39">
        <v>0.21299999999999999</v>
      </c>
      <c r="D97" s="39">
        <v>0.24299999999999999</v>
      </c>
      <c r="E97" s="40">
        <v>0.121</v>
      </c>
      <c r="F97" s="110">
        <v>-4.0999999999999996</v>
      </c>
      <c r="G97" s="58"/>
      <c r="H97" s="58"/>
      <c r="I97" s="58"/>
      <c r="J97" s="58"/>
      <c r="K97" s="58"/>
      <c r="L97" s="58"/>
    </row>
    <row r="98" spans="2:12" x14ac:dyDescent="0.3">
      <c r="B98" s="106">
        <v>6</v>
      </c>
      <c r="C98" s="40">
        <v>0.19700000000000001</v>
      </c>
      <c r="D98" s="40">
        <v>0.222</v>
      </c>
      <c r="E98" s="40">
        <v>0.11</v>
      </c>
      <c r="F98" s="110">
        <v>-4.49</v>
      </c>
      <c r="G98" s="58"/>
      <c r="H98" s="58"/>
      <c r="I98" s="58"/>
      <c r="J98" s="58"/>
      <c r="K98" s="58"/>
      <c r="L98" s="58"/>
    </row>
    <row r="99" spans="2:12" x14ac:dyDescent="0.3">
      <c r="B99" s="108">
        <v>8</v>
      </c>
      <c r="C99" s="41">
        <v>0.17399999999999999</v>
      </c>
      <c r="D99" s="41">
        <v>0.193</v>
      </c>
      <c r="E99" s="41">
        <v>9.6000000000000002E-2</v>
      </c>
      <c r="F99" s="109">
        <v>-5.18</v>
      </c>
      <c r="G99" s="58"/>
      <c r="H99" s="58"/>
      <c r="I99" s="58"/>
      <c r="J99" s="58"/>
      <c r="K99" s="58"/>
      <c r="L99" s="58"/>
    </row>
    <row r="100" spans="2:12" x14ac:dyDescent="0.3">
      <c r="B100" s="106">
        <v>9</v>
      </c>
      <c r="C100" s="39">
        <f>($B$100-$B$99)/($B$101-$B$99)*(C101-C99)+C99</f>
        <v>0.16599999999999998</v>
      </c>
      <c r="D100" s="39">
        <f t="shared" ref="D100:E100" si="10">($B$100-$B$99)/($B$101-$B$99)*(D101-D99)+D99</f>
        <v>0.1825</v>
      </c>
      <c r="E100" s="39">
        <f t="shared" si="10"/>
        <v>9.1499999999999998E-2</v>
      </c>
      <c r="F100" s="111">
        <f>($B$100-$B$99)/($B$101-$B$99)*(F101-F99)+F99</f>
        <v>-5.4949999999999992</v>
      </c>
      <c r="G100" s="58"/>
      <c r="H100" s="58"/>
      <c r="I100" s="58"/>
      <c r="J100" s="58"/>
      <c r="K100" s="58"/>
      <c r="L100" s="58"/>
    </row>
    <row r="101" spans="2:12" x14ac:dyDescent="0.3">
      <c r="B101" s="152">
        <v>10</v>
      </c>
      <c r="C101" s="153">
        <v>0.158</v>
      </c>
      <c r="D101" s="153">
        <v>0.17199999999999999</v>
      </c>
      <c r="E101" s="153">
        <v>8.6999999999999994E-2</v>
      </c>
      <c r="F101" s="154">
        <v>-5.81</v>
      </c>
      <c r="G101" s="58"/>
      <c r="H101" s="58"/>
      <c r="I101" s="58"/>
      <c r="J101" s="58"/>
      <c r="K101" s="58"/>
      <c r="L101" s="58"/>
    </row>
    <row r="102" spans="2:12" x14ac:dyDescent="0.3">
      <c r="B102" s="112">
        <v>11</v>
      </c>
      <c r="C102" s="40">
        <f>($B$102-$B$101)/($B$103-$B$101)*(C103-C101)+C101</f>
        <v>0.1515</v>
      </c>
      <c r="D102" s="40">
        <f t="shared" ref="D102:F102" si="11">($B$102-$B$101)/($B$103-$B$101)*(D103-D101)+D101</f>
        <v>0.16499999999999998</v>
      </c>
      <c r="E102" s="40">
        <f t="shared" si="11"/>
        <v>9.1999999999999998E-2</v>
      </c>
      <c r="F102" s="155">
        <f t="shared" si="11"/>
        <v>-6.0949999999999998</v>
      </c>
      <c r="G102" s="58"/>
      <c r="H102" s="58"/>
      <c r="I102" s="58"/>
      <c r="J102" s="58"/>
      <c r="K102" s="58"/>
      <c r="L102" s="58"/>
    </row>
    <row r="103" spans="2:12" x14ac:dyDescent="0.3">
      <c r="B103" s="112">
        <v>12</v>
      </c>
      <c r="C103" s="40">
        <v>0.14499999999999999</v>
      </c>
      <c r="D103" s="40">
        <v>0.158</v>
      </c>
      <c r="E103" s="40">
        <v>9.7000000000000003E-2</v>
      </c>
      <c r="F103" s="110">
        <v>-6.38</v>
      </c>
      <c r="G103" s="58"/>
      <c r="H103" s="58"/>
      <c r="I103" s="58"/>
      <c r="J103" s="58"/>
      <c r="K103" s="58"/>
      <c r="L103" s="58"/>
    </row>
    <row r="104" spans="2:12" x14ac:dyDescent="0.3">
      <c r="B104" s="112">
        <v>13</v>
      </c>
      <c r="C104" s="40">
        <f>($B$104-$B$103)/($B$105-$B$103)*(C105-C103)+C103</f>
        <v>0.14000000000000001</v>
      </c>
      <c r="D104" s="40">
        <f t="shared" ref="D104:F104" si="12">($B$104-$B$103)/($B$105-$B$103)*(D105-D103)+D103</f>
        <v>0.1525</v>
      </c>
      <c r="E104" s="40">
        <f t="shared" si="12"/>
        <v>8.4999999999999992E-2</v>
      </c>
      <c r="F104" s="155">
        <f t="shared" si="12"/>
        <v>-6.63</v>
      </c>
      <c r="G104" s="58"/>
      <c r="H104" s="58"/>
      <c r="I104" s="58"/>
      <c r="J104" s="58"/>
      <c r="K104" s="58"/>
      <c r="L104" s="58"/>
    </row>
    <row r="105" spans="2:12" x14ac:dyDescent="0.3">
      <c r="B105" s="112">
        <v>14</v>
      </c>
      <c r="C105" s="40">
        <v>0.13500000000000001</v>
      </c>
      <c r="D105" s="40">
        <v>0.14699999999999999</v>
      </c>
      <c r="E105" s="40">
        <v>7.2999999999999995E-2</v>
      </c>
      <c r="F105" s="110">
        <v>-6.88</v>
      </c>
      <c r="G105" s="58"/>
      <c r="H105" s="58"/>
      <c r="I105" s="58"/>
      <c r="J105" s="58"/>
      <c r="K105" s="58"/>
      <c r="L105" s="58"/>
    </row>
    <row r="106" spans="2:12" x14ac:dyDescent="0.3">
      <c r="B106" s="112">
        <v>15</v>
      </c>
      <c r="C106" s="40">
        <f>($B$106-$B$105)/($B$107-$B$105)*(C107-C105)+C105</f>
        <v>0.13100000000000001</v>
      </c>
      <c r="D106" s="40">
        <f t="shared" ref="D106:F106" si="13">($B$106-$B$105)/($B$107-$B$105)*(D107-D105)+D105</f>
        <v>0.14200000000000002</v>
      </c>
      <c r="E106" s="40">
        <f t="shared" si="13"/>
        <v>7.0500000000000007E-2</v>
      </c>
      <c r="F106" s="155">
        <f t="shared" si="13"/>
        <v>-7.12</v>
      </c>
      <c r="G106" s="58"/>
      <c r="H106" s="58"/>
      <c r="I106" s="58"/>
      <c r="J106" s="58"/>
      <c r="K106" s="58"/>
      <c r="L106" s="58"/>
    </row>
    <row r="107" spans="2:12" x14ac:dyDescent="0.3">
      <c r="B107" s="156">
        <v>16</v>
      </c>
      <c r="C107" s="157">
        <v>0.127</v>
      </c>
      <c r="D107" s="157">
        <v>0.13700000000000001</v>
      </c>
      <c r="E107" s="157">
        <v>6.8000000000000005E-2</v>
      </c>
      <c r="F107" s="158">
        <v>-7.36</v>
      </c>
      <c r="G107" s="58"/>
      <c r="H107" s="58"/>
      <c r="I107" s="58"/>
      <c r="J107" s="58"/>
      <c r="K107" s="58"/>
      <c r="L107" s="58"/>
    </row>
    <row r="108" spans="2:12" x14ac:dyDescent="0.3">
      <c r="B108" s="112">
        <v>20</v>
      </c>
      <c r="C108" s="40">
        <v>0.114</v>
      </c>
      <c r="D108" s="40">
        <v>0.122</v>
      </c>
      <c r="E108" s="40">
        <v>6.2E-2</v>
      </c>
      <c r="F108" s="107">
        <v>-8.1999999999999993</v>
      </c>
    </row>
    <row r="109" spans="2:12" x14ac:dyDescent="0.3">
      <c r="B109" s="112">
        <v>24</v>
      </c>
      <c r="C109" s="40">
        <v>0.10199999999999999</v>
      </c>
      <c r="D109" s="40">
        <v>0.111</v>
      </c>
      <c r="E109" s="40">
        <v>5.5E-2</v>
      </c>
      <c r="F109" s="107">
        <v>-8.94</v>
      </c>
    </row>
    <row r="110" spans="2:12" x14ac:dyDescent="0.3">
      <c r="B110" s="112">
        <v>32</v>
      </c>
      <c r="C110" s="40">
        <v>8.8999999999999996E-2</v>
      </c>
      <c r="D110" s="40">
        <v>9.6000000000000002E-2</v>
      </c>
      <c r="E110" s="40">
        <v>4.8000000000000001E-2</v>
      </c>
      <c r="F110" s="107">
        <v>-10.36</v>
      </c>
    </row>
    <row r="111" spans="2:12" x14ac:dyDescent="0.3">
      <c r="B111" s="112">
        <v>40</v>
      </c>
      <c r="C111" s="40">
        <v>0.08</v>
      </c>
      <c r="D111" s="40">
        <v>8.5999999999999993E-2</v>
      </c>
      <c r="E111" s="40">
        <v>4.2999999999999997E-2</v>
      </c>
      <c r="F111" s="107">
        <v>-10.62</v>
      </c>
    </row>
    <row r="112" spans="2:12" x14ac:dyDescent="0.3">
      <c r="B112" s="112">
        <v>48</v>
      </c>
      <c r="C112" s="40">
        <v>7.1999999999999995E-2</v>
      </c>
      <c r="D112" s="40">
        <v>7.9000000000000001E-2</v>
      </c>
      <c r="E112" s="40">
        <v>3.9E-2</v>
      </c>
      <c r="F112" s="107">
        <v>-12.76</v>
      </c>
    </row>
    <row r="113" spans="2:6" ht="15" thickBot="1" x14ac:dyDescent="0.35">
      <c r="B113" s="113">
        <v>56</v>
      </c>
      <c r="C113" s="114">
        <v>6.7000000000000004E-2</v>
      </c>
      <c r="D113" s="114">
        <v>7.3999999999999996E-2</v>
      </c>
      <c r="E113" s="114">
        <v>3.5999999999999997E-2</v>
      </c>
      <c r="F113" s="115">
        <v>-13.76</v>
      </c>
    </row>
  </sheetData>
  <mergeCells count="8">
    <mergeCell ref="B2:G2"/>
    <mergeCell ref="B18:L18"/>
    <mergeCell ref="B40:L40"/>
    <mergeCell ref="C87:C89"/>
    <mergeCell ref="D87:D89"/>
    <mergeCell ref="E87:E89"/>
    <mergeCell ref="F87:F89"/>
    <mergeCell ref="B87:B8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CALCULO</vt:lpstr>
      <vt:lpstr>TABLA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Hugo Trujillo</cp:lastModifiedBy>
  <dcterms:created xsi:type="dcterms:W3CDTF">2014-01-24T08:07:13Z</dcterms:created>
  <dcterms:modified xsi:type="dcterms:W3CDTF">2017-09-07T10:00:57Z</dcterms:modified>
</cp:coreProperties>
</file>