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1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213392cb6640af/Documents/"/>
    </mc:Choice>
  </mc:AlternateContent>
  <bookViews>
    <workbookView xWindow="0" yWindow="0" windowWidth="28800" windowHeight="121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Sheet1!$A$1:$U$42</definedName>
  </definedNames>
  <calcPr calcId="179016" calcCompleted="0"/>
  <fileRecoveryPr autoRecover="0"/>
</workbook>
</file>

<file path=xl/calcChain.xml><?xml version="1.0" encoding="utf-8"?>
<calcChain xmlns="http://schemas.openxmlformats.org/spreadsheetml/2006/main">
  <c r="S9" i="1" l="1"/>
  <c r="S12" i="1"/>
  <c r="S20" i="1"/>
  <c r="J21" i="1"/>
  <c r="S24" i="1"/>
  <c r="S22" i="1"/>
  <c r="J33" i="1"/>
  <c r="S16" i="1"/>
  <c r="O39" i="1"/>
  <c r="O40" i="1"/>
  <c r="P8" i="1"/>
  <c r="P26" i="1"/>
  <c r="U8" i="1"/>
  <c r="J19" i="1"/>
  <c r="F17" i="1"/>
  <c r="U7" i="1"/>
  <c r="S27" i="1"/>
  <c r="J29" i="1"/>
  <c r="P3" i="1"/>
  <c r="H27" i="1"/>
  <c r="J38" i="1"/>
  <c r="U3" i="1"/>
  <c r="M3" i="1"/>
  <c r="T2" i="1"/>
  <c r="J7" i="1"/>
  <c r="J8" i="1"/>
  <c r="H9" i="1"/>
  <c r="J2" i="1"/>
  <c r="J9" i="1"/>
  <c r="H10" i="1"/>
  <c r="J10" i="1"/>
  <c r="O24" i="1"/>
  <c r="N8" i="1"/>
  <c r="J36" i="1"/>
  <c r="P24" i="1"/>
  <c r="H39" i="1"/>
  <c r="H40" i="1"/>
  <c r="U22" i="1"/>
  <c r="T24" i="1"/>
  <c r="N31" i="1"/>
  <c r="Q34" i="1"/>
  <c r="S36" i="1"/>
  <c r="O27" i="1"/>
  <c r="J39" i="1"/>
  <c r="J37" i="1"/>
  <c r="O12" i="1"/>
  <c r="O13" i="1"/>
  <c r="M14" i="1"/>
  <c r="J40" i="1"/>
  <c r="N28" i="1"/>
  <c r="Q35" i="1"/>
  <c r="S37" i="1"/>
  <c r="K17" i="1"/>
  <c r="O42" i="1"/>
  <c r="S42" i="1"/>
  <c r="O14" i="1"/>
  <c r="N14" i="1"/>
  <c r="K16" i="1"/>
  <c r="L16" i="1"/>
  <c r="N18" i="1"/>
  <c r="Q30" i="1"/>
  <c r="S32" i="1"/>
  <c r="N6" i="1"/>
  <c r="O6" i="1"/>
  <c r="S6" i="1"/>
  <c r="L17" i="1"/>
  <c r="M19" i="1"/>
  <c r="N5" i="1"/>
  <c r="O5" i="1"/>
  <c r="S5" i="1"/>
  <c r="S14" i="1"/>
  <c r="T14" i="1"/>
  <c r="P18" i="1"/>
  <c r="S18" i="1"/>
  <c r="T18" i="1"/>
  <c r="Q29" i="1"/>
  <c r="S29" i="1"/>
  <c r="S31" i="1"/>
  <c r="S41" i="1"/>
  <c r="P14" i="1"/>
  <c r="R25" i="1"/>
  <c r="O41" i="1"/>
</calcChain>
</file>

<file path=xl/comments1.xml><?xml version="1.0" encoding="utf-8"?>
<comments xmlns="http://schemas.openxmlformats.org/spreadsheetml/2006/main">
  <authors>
    <author>pinit senanunsakul</author>
  </authors>
  <commentList>
    <comment ref="B3" authorId="0" shapeId="0">
      <text>
        <r>
          <rPr>
            <b/>
            <sz val="18"/>
            <color indexed="81"/>
            <rFont val="Tahoma"/>
            <family val="2"/>
          </rPr>
          <t xml:space="preserve">ให้เติมข้อมูลลงในเซลตัวหนังสือ </t>
        </r>
        <r>
          <rPr>
            <b/>
            <u/>
            <sz val="18"/>
            <color indexed="81"/>
            <rFont val="Tahoma"/>
            <family val="2"/>
          </rPr>
          <t>สีน้ำเงิน</t>
        </r>
        <r>
          <rPr>
            <b/>
            <sz val="18"/>
            <color indexed="81"/>
            <rFont val="Tahoma"/>
            <family val="2"/>
          </rPr>
          <t xml:space="preserve"> เท่านั้น</t>
        </r>
      </text>
    </comment>
    <comment ref="F3" authorId="0" shapeId="0">
      <text>
        <r>
          <rPr>
            <b/>
            <sz val="18"/>
            <color indexed="81"/>
            <rFont val="Tahoma"/>
            <family val="2"/>
          </rPr>
          <t xml:space="preserve">ให้เติมข้อมูลลงในเซลตัวหนังสือ </t>
        </r>
        <r>
          <rPr>
            <b/>
            <u/>
            <sz val="18"/>
            <color indexed="81"/>
            <rFont val="Tahoma"/>
            <family val="2"/>
          </rPr>
          <t>สีน้ำเงิน</t>
        </r>
        <r>
          <rPr>
            <b/>
            <sz val="18"/>
            <color indexed="81"/>
            <rFont val="Tahoma"/>
            <family val="2"/>
          </rPr>
          <t xml:space="preserve"> เท่านั้น</t>
        </r>
      </text>
    </comment>
    <comment ref="K3" authorId="0" shapeId="0">
      <text>
        <r>
          <rPr>
            <b/>
            <sz val="18"/>
            <color indexed="81"/>
            <rFont val="Tahoma"/>
            <family val="2"/>
          </rPr>
          <t xml:space="preserve">ให้เติมข้อมูลลงในเซลตัวหนังสือ </t>
        </r>
        <r>
          <rPr>
            <b/>
            <u/>
            <sz val="18"/>
            <color indexed="81"/>
            <rFont val="Tahoma"/>
            <family val="2"/>
          </rPr>
          <t>สีน้ำเงิน</t>
        </r>
        <r>
          <rPr>
            <b/>
            <sz val="18"/>
            <color indexed="81"/>
            <rFont val="Tahoma"/>
            <family val="2"/>
          </rPr>
          <t xml:space="preserve"> เท่านั้น</t>
        </r>
      </text>
    </comment>
    <comment ref="G5" authorId="0" shapeId="0">
      <text>
        <r>
          <rPr>
            <b/>
            <sz val="18"/>
            <color indexed="81"/>
            <rFont val="Tahoma"/>
            <family val="2"/>
          </rPr>
          <t xml:space="preserve">ให้เติมข้อมูลลงในเซลตัวหนังสือ </t>
        </r>
        <r>
          <rPr>
            <b/>
            <u/>
            <sz val="18"/>
            <color indexed="81"/>
            <rFont val="Tahoma"/>
            <family val="2"/>
          </rPr>
          <t>สีน้ำเงิน</t>
        </r>
        <r>
          <rPr>
            <b/>
            <sz val="18"/>
            <color indexed="81"/>
            <rFont val="Tahoma"/>
            <family val="2"/>
          </rPr>
          <t xml:space="preserve"> เท่านั้น</t>
        </r>
      </text>
    </comment>
  </commentList>
</comments>
</file>

<file path=xl/sharedStrings.xml><?xml version="1.0" encoding="utf-8"?>
<sst xmlns="http://schemas.openxmlformats.org/spreadsheetml/2006/main" count="136" uniqueCount="101">
  <si>
    <t>==================================================================================================</t>
  </si>
  <si>
    <t>========================================================================================================</t>
  </si>
  <si>
    <t>RC-Design of Spread Footing</t>
  </si>
  <si>
    <t>Date :</t>
  </si>
  <si>
    <t>Project :</t>
  </si>
  <si>
    <t>รั้วบ้าน</t>
  </si>
  <si>
    <t>engineer  :</t>
  </si>
  <si>
    <t>New  Man</t>
  </si>
  <si>
    <t>Footing Number :</t>
  </si>
  <si>
    <t>Fence</t>
  </si>
  <si>
    <t>ออกแบบฐานราก :</t>
  </si>
  <si>
    <t>รั้ว</t>
  </si>
  <si>
    <t xml:space="preserve">โมเมนต์สูงสุด    M(max)             =  </t>
  </si>
  <si>
    <t>kg.-m.</t>
  </si>
  <si>
    <t xml:space="preserve">fc'(ksc.)  =  </t>
  </si>
  <si>
    <t>แรงเฉือนสูงสุด   V(max)             =</t>
  </si>
  <si>
    <t xml:space="preserve">Coef.   =  </t>
  </si>
  <si>
    <t>fc(ksc.) =</t>
  </si>
  <si>
    <t>ขนาดหน้าตัดเสาในแนวก้าง     b    =</t>
  </si>
  <si>
    <t>m.</t>
  </si>
  <si>
    <t xml:space="preserve">fy(ksc.)  =  </t>
  </si>
  <si>
    <t>fs(ksc.) =</t>
  </si>
  <si>
    <t>mm.</t>
  </si>
  <si>
    <t xml:space="preserve">n  =  </t>
  </si>
  <si>
    <t>k =</t>
  </si>
  <si>
    <t>ดังนั้น รัศมีของเหล็กเสริม  D/2     =</t>
  </si>
  <si>
    <t>cm.</t>
  </si>
  <si>
    <t xml:space="preserve">j  =  </t>
  </si>
  <si>
    <t>R(ksc.) =</t>
  </si>
  <si>
    <t>ระยะหุ้มคอนกรีต        d'             =</t>
  </si>
  <si>
    <t>แรงกดจากเสาตอม่อที่กระทำต่อฐานราก (ไม่รวมน้ำหนักฐาราก)</t>
  </si>
  <si>
    <t>ความลึกประสิทธิผล</t>
  </si>
  <si>
    <t xml:space="preserve">P  =  </t>
  </si>
  <si>
    <t>kg.</t>
  </si>
  <si>
    <t xml:space="preserve">    d  =   (T*100 - d'-D/2)      =</t>
  </si>
  <si>
    <t xml:space="preserve">Ma  =  </t>
  </si>
  <si>
    <t>kg-m.</t>
  </si>
  <si>
    <t>ตรวจสอบความหนาฐานรากจากโมเมนต์ดัด</t>
  </si>
  <si>
    <t xml:space="preserve">ถมดินบนหลังฐานรากสูง   =  </t>
  </si>
  <si>
    <t xml:space="preserve">ถ.พ. ของดินบนหลังฐาน  =  </t>
  </si>
  <si>
    <t>kg./m.^3</t>
  </si>
  <si>
    <t>หน่วยแรงเฉือนแบบคานที่ยอมให้</t>
  </si>
  <si>
    <t xml:space="preserve">น้ำหนักแผ่กระจายของดินบนฐานราก + น้ำหนักแผ่กระจายของฐานราก  </t>
  </si>
  <si>
    <t xml:space="preserve">   v   =  0.29*SQRT(fc')           =</t>
  </si>
  <si>
    <t>ksc.</t>
  </si>
  <si>
    <t>ตรวจสอบความหนาฐานรากจากแรงเฉือนแบบคาน</t>
  </si>
  <si>
    <t>ระยะขอบฐารชิดเขตถึงขอบเสา</t>
  </si>
  <si>
    <t xml:space="preserve">La  =  </t>
  </si>
  <si>
    <t>หน่วยแรงเฉือนแบบทะลุที่ยอมให้</t>
  </si>
  <si>
    <t>ความลึกหน้าตัดเสาในแนวขนาดกับความยาวฐานราก</t>
  </si>
  <si>
    <t xml:space="preserve">   v   =  0.53*SQRT(fc')          =</t>
  </si>
  <si>
    <t xml:space="preserve">a  =  </t>
  </si>
  <si>
    <t>ตรวจสอบความหนาฐานรากจากแรงเฉือนแบบทะลุ</t>
  </si>
  <si>
    <t>ความสามารถของหน่วยแรงดันดินใต้ฐานรากสูงสุดที่ยอมให้</t>
  </si>
  <si>
    <t xml:space="preserve">=    </t>
  </si>
  <si>
    <t xml:space="preserve">p(max)  =  </t>
  </si>
  <si>
    <t>kg./m.^2</t>
  </si>
  <si>
    <t xml:space="preserve"> สมมุติ  ใช้ความหนาฐานราก</t>
  </si>
  <si>
    <t xml:space="preserve">T   =  </t>
  </si>
  <si>
    <r>
      <t xml:space="preserve">       </t>
    </r>
    <r>
      <rPr>
        <b/>
        <u/>
        <sz val="16"/>
        <color indexed="10"/>
        <rFont val="Eucrosia News"/>
        <family val="1"/>
      </rPr>
      <t>สรุป</t>
    </r>
    <r>
      <rPr>
        <b/>
        <sz val="16"/>
        <color indexed="10"/>
        <rFont val="Eucrosia News"/>
        <family val="1"/>
      </rPr>
      <t xml:space="preserve">      </t>
    </r>
    <r>
      <rPr>
        <sz val="16"/>
        <color indexed="10"/>
        <rFont val="Eucrosia News"/>
        <family val="1"/>
      </rPr>
      <t>ความหนา</t>
    </r>
  </si>
  <si>
    <t>ดังนั้น หน่วยน้ำหนักแผ่กระจายกดลงบนดินใต้ฐานรากรวม</t>
  </si>
  <si>
    <t xml:space="preserve">Wa  =  </t>
  </si>
  <si>
    <t>ใช้ หน่วยแรง ยึดหน่วง         u      =</t>
  </si>
  <si>
    <r>
      <t xml:space="preserve">ksc. </t>
    </r>
    <r>
      <rPr>
        <sz val="18"/>
        <rFont val="Eucrosia News"/>
        <family val="1"/>
      </rPr>
      <t/>
    </r>
  </si>
  <si>
    <t>จากแรงที่กระทำได้ค่าโมเมนต์</t>
  </si>
  <si>
    <t>คำนวณ หาเหล็กเสริมล่าง ในแนวขนาน ด้าน ยาว (L)</t>
  </si>
  <si>
    <t xml:space="preserve">M  =   </t>
  </si>
  <si>
    <t>P*(L/2-La-a/2)+Ma            =</t>
  </si>
  <si>
    <t xml:space="preserve">    My   = </t>
  </si>
  <si>
    <t xml:space="preserve">p1 =   </t>
  </si>
  <si>
    <t>P/(B*L)-6*M/(B*L^2)+Wa</t>
  </si>
  <si>
    <t xml:space="preserve">     Vy   = </t>
  </si>
  <si>
    <t xml:space="preserve">p2 =   </t>
  </si>
  <si>
    <t>P/(B*L)+6*M/(B*L^2)+Wa</t>
  </si>
  <si>
    <t xml:space="preserve">     As   = </t>
  </si>
  <si>
    <t xml:space="preserve">   My/(fs*j*d)      =</t>
  </si>
  <si>
    <t>cm.^2</t>
  </si>
  <si>
    <t>สมมุติ ใช้ความยาวฐานราก</t>
  </si>
  <si>
    <r>
      <t xml:space="preserve">     S</t>
    </r>
    <r>
      <rPr>
        <sz val="14"/>
        <rFont val="EucrosiaUPC"/>
        <family val="1"/>
        <charset val="222"/>
      </rPr>
      <t xml:space="preserve">o   = </t>
    </r>
  </si>
  <si>
    <t xml:space="preserve">   Vy/(u*j*d)       =</t>
  </si>
  <si>
    <t xml:space="preserve">L   =  </t>
  </si>
  <si>
    <t>คำนวณ หาเหล็กเสริมล่าง ในแนวขนาน ด้าน กว้าง (B)</t>
  </si>
  <si>
    <r>
      <t xml:space="preserve">เพื่อป้องกันฐานรากพลิก ดังนั้นหน่วยแรงดันต่ำสุด  p1 </t>
    </r>
    <r>
      <rPr>
        <u/>
        <sz val="16"/>
        <rFont val="Eucrosia News"/>
        <family val="1"/>
      </rPr>
      <t>&gt;</t>
    </r>
    <r>
      <rPr>
        <sz val="14"/>
        <rFont val="Eucrosia News"/>
        <family val="1"/>
      </rPr>
      <t xml:space="preserve"> 0</t>
    </r>
  </si>
  <si>
    <t xml:space="preserve">    Mx   = </t>
  </si>
  <si>
    <t>หาความกว้างฐานราก     เมื่อ p1 = 0</t>
  </si>
  <si>
    <t xml:space="preserve">     Vx   = </t>
  </si>
  <si>
    <t xml:space="preserve">จะได้   B </t>
  </si>
  <si>
    <t xml:space="preserve">        =</t>
  </si>
  <si>
    <t xml:space="preserve">   Mx/(fs*j*d)      =</t>
  </si>
  <si>
    <t>เลือกใช้ฐานรากกว้าง   B =</t>
  </si>
  <si>
    <t xml:space="preserve">   Vx/(u*j*d)       =</t>
  </si>
  <si>
    <t xml:space="preserve">น้ำหนักแผ่กระจายที่กดลงรวม   =  Wa * B =  W   = </t>
  </si>
  <si>
    <t>kg./m.</t>
  </si>
  <si>
    <t>เหล็กเสริมต่ำสุดกึ่งหนึ่งที่ยอมให้ในลักษณะเหล็กกันร้าวสำหรับเหล็กบน</t>
  </si>
  <si>
    <t>ดังนั้น แรงดันดินต่ำสุด p1=</t>
  </si>
  <si>
    <t xml:space="preserve"> แนวขนานด้านยาว (L), As =0.125%*B*T =</t>
  </si>
  <si>
    <t>ดังนั้น แรงดันดินสูงสุด p2=</t>
  </si>
  <si>
    <t xml:space="preserve"> แนวขนานด้านกว้าง (B), As = 0.125%*L*T =</t>
  </si>
  <si>
    <r>
      <t>สรุป</t>
    </r>
    <r>
      <rPr>
        <sz val="14"/>
        <rFont val="Eucrosia News"/>
        <family val="1"/>
      </rPr>
      <t xml:space="preserve">   ใช้เหล็กเสริมล่างในแนวขนานด้านยาว (L) </t>
    </r>
  </si>
  <si>
    <r>
      <t>S</t>
    </r>
    <r>
      <rPr>
        <sz val="14"/>
        <color rgb="FFFF0000"/>
        <rFont val="EucrosiaUPC"/>
        <family val="1"/>
        <charset val="222"/>
      </rPr>
      <t>o   =</t>
    </r>
  </si>
  <si>
    <r>
      <t>สรุป</t>
    </r>
    <r>
      <rPr>
        <sz val="14"/>
        <rFont val="Eucrosia News"/>
        <family val="1"/>
      </rPr>
      <t xml:space="preserve">   </t>
    </r>
    <r>
      <rPr>
        <sz val="13.5"/>
        <rFont val="Eucrosia News"/>
        <family val="1"/>
      </rPr>
      <t xml:space="preserve">ใช้เหล็กเสริมล่างในแนวขนานด้านกว้าง (B)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</si>
</sst>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_-* #,##0.00_-;\-* #,##0.00_-;_-* &quot;-&quot;??_-;_-@_-"/>
    <numFmt numFmtId="165" formatCode="0.000"/>
    <numFmt numFmtId="166" formatCode="#,##0.00_ ;\-#,##0.00\ "/>
    <numFmt numFmtId="167" formatCode="#,##0.000_ ;\-#,##0.000\ "/>
    <numFmt numFmtId="168" formatCode="_(* #,##0.000_);_(* \(#,##0.000\);_(* &quot;-&quot;???_);_(@_)"/>
    <numFmt numFmtId="169" formatCode="[$-409]dd/mmm/yy;@"/>
    <numFmt numFmtId="170" formatCode="[$-409]d/mmm/yy;@"/>
    <numFmt numFmtId="171" formatCode="#,##0.000"/>
    <numFmt numFmtId="172" formatCode="0.0000"/>
    <numFmt numFmtId="173" formatCode="_-* #,##0.0000_-;\-* #,##0.0000_-;_-* &quot;-&quot;??_-;_-@_-"/>
  </numFmts>
  <fonts count="41">
    <font>
      <sz val="16"/>
      <name val="AngsanaUPC"/>
      <charset val="222"/>
    </font>
    <font>
      <sz val="16"/>
      <name val="AngsanaUPC"/>
      <charset val="222"/>
    </font>
    <font>
      <sz val="14"/>
      <name val="Eucrosia News"/>
      <family val="1"/>
    </font>
    <font>
      <b/>
      <sz val="14"/>
      <name val="Cordia New"/>
      <family val="2"/>
      <charset val="222"/>
    </font>
    <font>
      <sz val="14"/>
      <name val="Cordia New"/>
      <family val="2"/>
      <charset val="222"/>
    </font>
    <font>
      <b/>
      <sz val="14"/>
      <color indexed="12"/>
      <name val="Cordia New"/>
      <family val="2"/>
      <charset val="222"/>
    </font>
    <font>
      <u/>
      <sz val="14"/>
      <color indexed="12"/>
      <name val="Cordia New"/>
      <family val="2"/>
      <charset val="222"/>
    </font>
    <font>
      <i/>
      <sz val="14"/>
      <name val="Cordia New"/>
      <family val="2"/>
      <charset val="222"/>
    </font>
    <font>
      <sz val="14"/>
      <color indexed="12"/>
      <name val="Cordia New"/>
      <family val="2"/>
      <charset val="222"/>
    </font>
    <font>
      <b/>
      <sz val="16"/>
      <name val="Cordia New"/>
      <family val="2"/>
    </font>
    <font>
      <b/>
      <u/>
      <sz val="16"/>
      <color indexed="12"/>
      <name val="Cordia New"/>
      <family val="2"/>
    </font>
    <font>
      <sz val="8"/>
      <name val="AngsanaUPC"/>
      <charset val="222"/>
    </font>
    <font>
      <sz val="14"/>
      <color indexed="10"/>
      <name val="Eucrosia News"/>
      <family val="1"/>
    </font>
    <font>
      <sz val="14"/>
      <color indexed="12"/>
      <name val="Eucrosia News"/>
      <family val="1"/>
    </font>
    <font>
      <u/>
      <sz val="16"/>
      <name val="Eucrosia News"/>
      <family val="1"/>
    </font>
    <font>
      <sz val="18"/>
      <name val="Eucrosia News"/>
      <family val="1"/>
    </font>
    <font>
      <sz val="12"/>
      <name val="Symbol"/>
      <family val="1"/>
      <charset val="2"/>
    </font>
    <font>
      <sz val="14"/>
      <name val="EucrosiaUPC"/>
      <family val="1"/>
      <charset val="222"/>
    </font>
    <font>
      <b/>
      <u/>
      <sz val="16"/>
      <color indexed="10"/>
      <name val="Eucrosia News"/>
      <family val="1"/>
    </font>
    <font>
      <sz val="18"/>
      <color indexed="10"/>
      <name val="Eucrosia News"/>
      <family val="1"/>
    </font>
    <font>
      <b/>
      <sz val="16"/>
      <color indexed="10"/>
      <name val="Eucrosia News"/>
      <family val="1"/>
    </font>
    <font>
      <b/>
      <sz val="14"/>
      <name val="Cordia New"/>
      <family val="2"/>
    </font>
    <font>
      <b/>
      <u/>
      <sz val="18"/>
      <color indexed="10"/>
      <name val="Eucrosia News"/>
      <family val="1"/>
    </font>
    <font>
      <sz val="14"/>
      <color rgb="FF0000FF"/>
      <name val="Eucrosia News"/>
      <family val="1"/>
    </font>
    <font>
      <sz val="14"/>
      <color theme="0"/>
      <name val="Eucrosia News"/>
      <family val="1"/>
    </font>
    <font>
      <sz val="13.5"/>
      <name val="Eucrosia News"/>
      <family val="1"/>
    </font>
    <font>
      <sz val="18"/>
      <color rgb="FFFF0000"/>
      <name val="Eucrosia News"/>
      <family val="1"/>
    </font>
    <font>
      <sz val="14"/>
      <color rgb="FFFF0000"/>
      <name val="Eucrosia News"/>
      <family val="1"/>
    </font>
    <font>
      <sz val="12"/>
      <color rgb="FFFF0000"/>
      <name val="Symbol"/>
      <family val="1"/>
      <charset val="2"/>
    </font>
    <font>
      <sz val="14"/>
      <color rgb="FFFF0000"/>
      <name val="EucrosiaUPC"/>
      <family val="1"/>
      <charset val="222"/>
    </font>
    <font>
      <b/>
      <sz val="14"/>
      <color rgb="FFFF0000"/>
      <name val="Cordia New"/>
      <family val="2"/>
      <charset val="222"/>
    </font>
    <font>
      <u/>
      <sz val="14"/>
      <color rgb="FFFF0000"/>
      <name val="Cordia New"/>
      <family val="2"/>
      <charset val="222"/>
    </font>
    <font>
      <b/>
      <u/>
      <sz val="16"/>
      <color rgb="FFFF0000"/>
      <name val="Cordia New"/>
      <family val="2"/>
    </font>
    <font>
      <b/>
      <sz val="22"/>
      <color rgb="FFFF0000"/>
      <name val="Cordia New"/>
      <family val="2"/>
    </font>
    <font>
      <b/>
      <sz val="22"/>
      <color rgb="FF0000FF"/>
      <name val="Cordia New"/>
      <family val="2"/>
    </font>
    <font>
      <u/>
      <sz val="14"/>
      <color rgb="FF0000FF"/>
      <name val="Cordia New"/>
      <family val="2"/>
      <charset val="222"/>
    </font>
    <font>
      <sz val="14"/>
      <color theme="0"/>
      <name val="Cordia New"/>
      <family val="2"/>
      <charset val="222"/>
    </font>
    <font>
      <sz val="16"/>
      <color indexed="10"/>
      <name val="Eucrosia News"/>
      <family val="1"/>
    </font>
    <font>
      <b/>
      <sz val="18"/>
      <color indexed="81"/>
      <name val="Tahoma"/>
      <family val="2"/>
    </font>
    <font>
      <b/>
      <u/>
      <sz val="18"/>
      <color indexed="81"/>
      <name val="Tahoma"/>
      <family val="2"/>
    </font>
    <font>
      <b/>
      <sz val="2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0" fontId="2" fillId="0" borderId="0" xfId="0" applyFont="1" applyAlignment="1"/>
    <xf numFmtId="165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0" fontId="12" fillId="0" borderId="0" xfId="0" applyFont="1"/>
    <xf numFmtId="0" fontId="19" fillId="0" borderId="0" xfId="0" applyFont="1"/>
    <xf numFmtId="165" fontId="10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0" fontId="19" fillId="0" borderId="0" xfId="0" quotePrefix="1" applyFont="1"/>
    <xf numFmtId="165" fontId="12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2" fontId="2" fillId="0" borderId="0" xfId="0" applyNumberFormat="1" applyFont="1" applyAlignment="1">
      <alignment horizontal="left"/>
    </xf>
    <xf numFmtId="165" fontId="12" fillId="0" borderId="0" xfId="0" applyNumberFormat="1" applyFont="1"/>
    <xf numFmtId="0" fontId="3" fillId="0" borderId="0" xfId="0" applyFont="1" applyAlignment="1"/>
    <xf numFmtId="164" fontId="2" fillId="0" borderId="0" xfId="1" applyFont="1"/>
    <xf numFmtId="168" fontId="2" fillId="0" borderId="0" xfId="0" applyNumberFormat="1" applyFont="1"/>
    <xf numFmtId="43" fontId="2" fillId="0" borderId="0" xfId="0" applyNumberFormat="1" applyFont="1"/>
    <xf numFmtId="39" fontId="2" fillId="0" borderId="0" xfId="0" applyNumberFormat="1" applyFont="1"/>
    <xf numFmtId="0" fontId="22" fillId="0" borderId="0" xfId="0" applyFont="1" applyAlignment="1"/>
    <xf numFmtId="4" fontId="2" fillId="0" borderId="0" xfId="0" applyNumberFormat="1" applyFont="1"/>
    <xf numFmtId="165" fontId="24" fillId="0" borderId="0" xfId="0" applyNumberFormat="1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165" fontId="27" fillId="0" borderId="0" xfId="0" applyNumberFormat="1" applyFont="1"/>
    <xf numFmtId="2" fontId="27" fillId="0" borderId="0" xfId="0" applyNumberFormat="1" applyFont="1" applyAlignment="1">
      <alignment horizontal="left"/>
    </xf>
    <xf numFmtId="0" fontId="27" fillId="0" borderId="0" xfId="0" applyFont="1" applyAlignment="1"/>
    <xf numFmtId="0" fontId="30" fillId="0" borderId="0" xfId="0" applyFont="1" applyAlignment="1">
      <alignment horizontal="left"/>
    </xf>
    <xf numFmtId="22" fontId="31" fillId="0" borderId="0" xfId="0" applyNumberFormat="1" applyFont="1" applyAlignment="1">
      <alignment horizontal="left"/>
    </xf>
    <xf numFmtId="0" fontId="32" fillId="0" borderId="0" xfId="0" applyFont="1" applyAlignment="1">
      <alignment horizontal="left"/>
    </xf>
    <xf numFmtId="165" fontId="2" fillId="0" borderId="0" xfId="0" applyNumberFormat="1" applyFont="1" applyAlignment="1">
      <alignment horizontal="center" vertical="center"/>
    </xf>
    <xf numFmtId="165" fontId="2" fillId="0" borderId="0" xfId="1" applyNumberFormat="1" applyFont="1" applyAlignment="1">
      <alignment horizontal="left" vertical="center"/>
    </xf>
    <xf numFmtId="0" fontId="28" fillId="0" borderId="0" xfId="0" applyFont="1" applyAlignment="1">
      <alignment horizontal="right"/>
    </xf>
    <xf numFmtId="4" fontId="27" fillId="0" borderId="0" xfId="0" applyNumberFormat="1" applyFont="1"/>
    <xf numFmtId="2" fontId="27" fillId="0" borderId="0" xfId="0" applyNumberFormat="1" applyFont="1"/>
    <xf numFmtId="165" fontId="2" fillId="0" borderId="0" xfId="0" applyNumberFormat="1" applyFont="1" applyAlignment="1">
      <alignment vertical="center"/>
    </xf>
    <xf numFmtId="165" fontId="2" fillId="0" borderId="0" xfId="1" applyNumberFormat="1" applyFont="1" applyAlignment="1">
      <alignment vertical="center"/>
    </xf>
    <xf numFmtId="2" fontId="2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left"/>
      <protection locked="0"/>
    </xf>
    <xf numFmtId="22" fontId="6" fillId="0" borderId="0" xfId="0" applyNumberFormat="1" applyFont="1" applyAlignment="1" applyProtection="1">
      <alignment horizontal="left"/>
      <protection locked="0"/>
    </xf>
    <xf numFmtId="0" fontId="6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35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4" fontId="13" fillId="0" borderId="0" xfId="1" applyNumberFormat="1" applyFont="1" applyProtection="1">
      <protection locked="0"/>
    </xf>
    <xf numFmtId="4" fontId="23" fillId="0" borderId="0" xfId="1" applyNumberFormat="1" applyFont="1" applyProtection="1">
      <protection locked="0"/>
    </xf>
    <xf numFmtId="2" fontId="23" fillId="0" borderId="0" xfId="0" applyNumberFormat="1" applyFont="1" applyProtection="1">
      <protection locked="0"/>
    </xf>
    <xf numFmtId="4" fontId="23" fillId="0" borderId="0" xfId="0" applyNumberFormat="1" applyFont="1" applyProtection="1">
      <protection locked="0"/>
    </xf>
    <xf numFmtId="165" fontId="13" fillId="0" borderId="0" xfId="0" applyNumberFormat="1" applyFont="1" applyProtection="1">
      <protection locked="0"/>
    </xf>
    <xf numFmtId="2" fontId="13" fillId="0" borderId="0" xfId="0" applyNumberFormat="1" applyFont="1" applyProtection="1">
      <protection locked="0"/>
    </xf>
    <xf numFmtId="166" fontId="13" fillId="0" borderId="0" xfId="1" applyNumberFormat="1" applyFont="1" applyProtection="1">
      <protection locked="0"/>
    </xf>
    <xf numFmtId="2" fontId="13" fillId="0" borderId="0" xfId="0" applyNumberFormat="1" applyFont="1" applyAlignment="1" applyProtection="1">
      <alignment horizontal="right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0" xfId="1" applyNumberFormat="1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right"/>
      <protection locked="0"/>
    </xf>
    <xf numFmtId="0" fontId="13" fillId="0" borderId="0" xfId="0" applyFont="1" applyProtection="1">
      <protection locked="0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top"/>
    </xf>
    <xf numFmtId="172" fontId="24" fillId="0" borderId="0" xfId="0" applyNumberFormat="1" applyFont="1"/>
    <xf numFmtId="173" fontId="24" fillId="0" borderId="0" xfId="1" applyNumberFormat="1" applyFont="1"/>
    <xf numFmtId="164" fontId="2" fillId="0" borderId="0" xfId="0" quotePrefix="1" applyNumberFormat="1" applyFont="1" applyAlignment="1">
      <alignment horizontal="right"/>
    </xf>
    <xf numFmtId="0" fontId="36" fillId="0" borderId="0" xfId="0" applyFont="1" applyAlignment="1">
      <alignment horizontal="left"/>
    </xf>
    <xf numFmtId="0" fontId="24" fillId="0" borderId="0" xfId="0" applyFont="1"/>
    <xf numFmtId="0" fontId="34" fillId="0" borderId="0" xfId="0" quotePrefix="1" applyFont="1" applyAlignment="1" applyProtection="1"/>
    <xf numFmtId="0" fontId="34" fillId="0" borderId="0" xfId="0" quotePrefix="1" applyNumberFormat="1" applyFont="1" applyAlignment="1" applyProtection="1">
      <alignment horizontal="left"/>
      <protection locked="0"/>
    </xf>
    <xf numFmtId="0" fontId="2" fillId="0" borderId="0" xfId="0" applyFont="1" applyProtection="1"/>
    <xf numFmtId="0" fontId="2" fillId="0" borderId="0" xfId="0" quotePrefix="1" applyFont="1" applyAlignment="1" applyProtection="1">
      <alignment horizontal="center"/>
    </xf>
    <xf numFmtId="165" fontId="13" fillId="0" borderId="0" xfId="0" applyNumberFormat="1" applyFont="1" applyProtection="1"/>
    <xf numFmtId="166" fontId="13" fillId="0" borderId="0" xfId="1" applyNumberFormat="1" applyFont="1" applyProtection="1"/>
    <xf numFmtId="0" fontId="2" fillId="0" borderId="0" xfId="0" applyFont="1" applyAlignment="1" applyProtection="1">
      <alignment horizontal="center"/>
    </xf>
    <xf numFmtId="2" fontId="13" fillId="0" borderId="0" xfId="0" applyNumberFormat="1" applyFont="1" applyAlignment="1" applyProtection="1">
      <alignment horizontal="right"/>
    </xf>
    <xf numFmtId="0" fontId="23" fillId="0" borderId="0" xfId="0" quotePrefix="1" applyFont="1" applyAlignment="1" applyProtection="1"/>
    <xf numFmtId="0" fontId="4" fillId="0" borderId="0" xfId="0" quotePrefix="1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169" fontId="7" fillId="0" borderId="0" xfId="0" applyNumberFormat="1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9" fillId="0" borderId="0" xfId="0" applyFont="1" applyAlignment="1" applyProtection="1">
      <alignment horizontal="right"/>
    </xf>
    <xf numFmtId="0" fontId="33" fillId="0" borderId="0" xfId="0" quotePrefix="1" applyFont="1" applyAlignment="1" applyProtection="1"/>
    <xf numFmtId="0" fontId="33" fillId="0" borderId="0" xfId="0" quotePrefix="1" applyFont="1" applyAlignment="1" applyProtection="1">
      <alignment horizontal="right"/>
    </xf>
    <xf numFmtId="0" fontId="27" fillId="0" borderId="0" xfId="0" quotePrefix="1" applyFont="1" applyAlignment="1" applyProtection="1">
      <alignment horizontal="right"/>
    </xf>
    <xf numFmtId="0" fontId="23" fillId="0" borderId="0" xfId="0" quotePrefix="1" applyNumberFormat="1" applyFont="1" applyAlignment="1" applyProtection="1">
      <alignment horizontal="left"/>
    </xf>
    <xf numFmtId="2" fontId="4" fillId="0" borderId="0" xfId="0" applyNumberFormat="1" applyFont="1" applyAlignment="1" applyProtection="1">
      <alignment horizontal="center"/>
    </xf>
    <xf numFmtId="0" fontId="4" fillId="0" borderId="0" xfId="0" applyNumberFormat="1" applyFont="1" applyAlignment="1" applyProtection="1">
      <alignment horizontal="center"/>
    </xf>
    <xf numFmtId="1" fontId="4" fillId="0" borderId="0" xfId="0" applyNumberFormat="1" applyFont="1" applyAlignment="1" applyProtection="1">
      <alignment horizontal="center"/>
    </xf>
    <xf numFmtId="165" fontId="4" fillId="0" borderId="0" xfId="0" applyNumberFormat="1" applyFont="1" applyAlignment="1" applyProtection="1">
      <alignment horizontal="center"/>
    </xf>
    <xf numFmtId="0" fontId="4" fillId="0" borderId="0" xfId="0" applyFont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/>
    <xf numFmtId="43" fontId="2" fillId="0" borderId="0" xfId="0" applyNumberFormat="1" applyFont="1" applyProtection="1"/>
    <xf numFmtId="2" fontId="2" fillId="0" borderId="0" xfId="0" applyNumberFormat="1" applyFont="1" applyProtection="1"/>
    <xf numFmtId="4" fontId="2" fillId="0" borderId="0" xfId="0" quotePrefix="1" applyNumberFormat="1" applyFont="1" applyAlignment="1" applyProtection="1">
      <alignment horizontal="center"/>
    </xf>
    <xf numFmtId="43" fontId="2" fillId="0" borderId="0" xfId="0" quotePrefix="1" applyNumberFormat="1" applyFont="1" applyAlignment="1" applyProtection="1">
      <alignment horizontal="center"/>
    </xf>
    <xf numFmtId="2" fontId="2" fillId="0" borderId="0" xfId="0" applyNumberFormat="1" applyFont="1" applyAlignment="1" applyProtection="1">
      <alignment horizontal="center"/>
    </xf>
    <xf numFmtId="0" fontId="2" fillId="0" borderId="0" xfId="0" quotePrefix="1" applyFont="1" applyAlignment="1" applyProtection="1">
      <alignment horizontal="left"/>
    </xf>
    <xf numFmtId="165" fontId="2" fillId="0" borderId="0" xfId="0" applyNumberFormat="1" applyFont="1" applyAlignment="1" applyProtection="1">
      <alignment horizontal="center"/>
    </xf>
    <xf numFmtId="0" fontId="2" fillId="0" borderId="0" xfId="0" quotePrefix="1" applyFont="1" applyAlignment="1" applyProtection="1">
      <alignment horizontal="right"/>
    </xf>
    <xf numFmtId="0" fontId="2" fillId="0" borderId="0" xfId="0" quotePrefix="1" applyFont="1" applyProtection="1"/>
    <xf numFmtId="0" fontId="26" fillId="0" borderId="0" xfId="0" applyFont="1" applyProtection="1"/>
    <xf numFmtId="4" fontId="2" fillId="0" borderId="0" xfId="0" applyNumberFormat="1" applyFont="1" applyProtection="1"/>
    <xf numFmtId="0" fontId="19" fillId="0" borderId="0" xfId="0" applyFont="1" applyAlignment="1" applyProtection="1">
      <alignment horizontal="center"/>
    </xf>
    <xf numFmtId="0" fontId="19" fillId="0" borderId="0" xfId="0" applyFont="1" applyAlignment="1" applyProtection="1"/>
    <xf numFmtId="0" fontId="27" fillId="0" borderId="0" xfId="0" applyFont="1" applyProtection="1"/>
    <xf numFmtId="0" fontId="16" fillId="0" borderId="0" xfId="0" applyFont="1" applyAlignment="1">
      <alignment horizontal="right"/>
    </xf>
    <xf numFmtId="0" fontId="24" fillId="0" borderId="0" xfId="0" applyFont="1" applyProtection="1"/>
    <xf numFmtId="2" fontId="24" fillId="0" borderId="0" xfId="0" applyNumberFormat="1" applyFont="1"/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165" fontId="2" fillId="0" borderId="0" xfId="1" applyNumberFormat="1" applyFont="1" applyAlignment="1">
      <alignment horizontal="center" vertical="center"/>
    </xf>
    <xf numFmtId="0" fontId="2" fillId="0" borderId="0" xfId="0" applyFont="1" applyAlignment="1" applyProtection="1">
      <alignment horizontal="right"/>
    </xf>
    <xf numFmtId="0" fontId="40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left"/>
    </xf>
    <xf numFmtId="170" fontId="7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/>
    </xf>
    <xf numFmtId="165" fontId="2" fillId="0" borderId="0" xfId="1" applyNumberFormat="1" applyFont="1" applyAlignment="1">
      <alignment horizontal="center" vertical="center"/>
    </xf>
    <xf numFmtId="171" fontId="12" fillId="0" borderId="0" xfId="1" applyNumberFormat="1" applyFont="1" applyAlignment="1">
      <alignment horizontal="center"/>
    </xf>
    <xf numFmtId="4" fontId="1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37" fillId="0" borderId="0" xfId="0" quotePrefix="1" applyFont="1" applyAlignment="1">
      <alignment horizontal="left"/>
    </xf>
    <xf numFmtId="0" fontId="2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0000"/>
      <color rgb="FF0000FF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4</xdr:row>
      <xdr:rowOff>371475</xdr:rowOff>
    </xdr:from>
    <xdr:to>
      <xdr:col>14</xdr:col>
      <xdr:colOff>847725</xdr:colOff>
      <xdr:row>32</xdr:row>
      <xdr:rowOff>161926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936F17-0BAE-4CCB-9C0E-9C5C82FA058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38" t="2366" r="21373" b="2083"/>
        <a:stretch/>
      </xdr:blipFill>
      <xdr:spPr>
        <a:xfrm>
          <a:off x="7534275" y="1514475"/>
          <a:ext cx="3009900" cy="7991476"/>
        </a:xfrm>
        <a:prstGeom prst="rect">
          <a:avLst/>
        </a:prstGeom>
        <a:ln>
          <a:noFill/>
        </a:ln>
        <a:scene3d>
          <a:camera prst="orthographicFront"/>
          <a:lightRig rig="threePt" dir="t"/>
        </a:scene3d>
        <a:sp3d/>
      </xdr:spPr>
    </xdr:pic>
    <xdr:clientData/>
  </xdr:twoCellAnchor>
  <xdr:twoCellAnchor editAs="oneCell">
    <xdr:from>
      <xdr:col>0</xdr:col>
      <xdr:colOff>0</xdr:colOff>
      <xdr:row>10</xdr:row>
      <xdr:rowOff>133350</xdr:rowOff>
    </xdr:from>
    <xdr:to>
      <xdr:col>4</xdr:col>
      <xdr:colOff>504825</xdr:colOff>
      <xdr:row>33</xdr:row>
      <xdr:rowOff>123825</xdr:rowOff>
    </xdr:to>
    <xdr:pic>
      <xdr:nvPicPr>
        <xdr:cNvPr id="1288" name="Picture 28">
          <a:extLst>
            <a:ext uri="{FF2B5EF4-FFF2-40B4-BE49-F238E27FC236}">
              <a16:creationId xmlns:a16="http://schemas.microsoft.com/office/drawing/2014/main" id="{E3C18E9F-0342-4337-B5E6-E28F226E75F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18" t="11458" r="37032" b="14583"/>
        <a:stretch>
          <a:fillRect/>
        </a:stretch>
      </xdr:blipFill>
      <xdr:spPr bwMode="auto">
        <a:xfrm>
          <a:off x="0" y="1905000"/>
          <a:ext cx="2847975" cy="6648450"/>
        </a:xfrm>
        <a:prstGeom prst="rect">
          <a:avLst/>
        </a:prstGeom>
        <a:noFill/>
        <a:ln>
          <a:noFill/>
        </a:ln>
        <a:effectLst/>
        <a:scene3d>
          <a:camera prst="orthographicFront"/>
          <a:lightRig rig="threePt" dir="t"/>
        </a:scene3d>
        <a:sp3d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5</xdr:col>
      <xdr:colOff>589947</xdr:colOff>
      <xdr:row>35</xdr:row>
      <xdr:rowOff>87313</xdr:rowOff>
    </xdr:from>
    <xdr:ext cx="1681358" cy="2555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B8585AB1-C328-40F2-A3C5-1C55C9BD38BB}"/>
                </a:ext>
              </a:extLst>
            </xdr:cNvPr>
            <xdr:cNvSpPr txBox="1">
              <a:spLocks/>
            </xdr:cNvSpPr>
          </xdr:nvSpPr>
          <xdr:spPr>
            <a:xfrm>
              <a:off x="3542697" y="7402513"/>
              <a:ext cx="1681358" cy="255588"/>
            </a:xfrm>
            <a:prstGeom prst="rect">
              <a:avLst/>
            </a:prstGeom>
            <a:noFill/>
            <a:scene3d>
              <a:camera prst="orthographicFront"/>
              <a:lightRig rig="threePt" dir="t"/>
            </a:scene3d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 </m:t>
                    </m:r>
                    <m:sSup>
                      <m:sSupPr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((6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𝑀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/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𝐿</m:t>
                        </m:r>
                      </m:e>
                      <m:sup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)</m:t>
                    </m:r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(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/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𝐿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))/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𝑊𝑎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B8585AB1-C328-40F2-A3C5-1C55C9BD38BB}"/>
                </a:ext>
              </a:extLst>
            </xdr:cNvPr>
            <xdr:cNvSpPr txBox="1">
              <a:spLocks/>
            </xdr:cNvSpPr>
          </xdr:nvSpPr>
          <xdr:spPr>
            <a:xfrm>
              <a:off x="3542697" y="7402513"/>
              <a:ext cx="1681358" cy="255588"/>
            </a:xfrm>
            <a:prstGeom prst="rect">
              <a:avLst/>
            </a:prstGeom>
            <a:noFill/>
            <a:scene3d>
              <a:camera prst="orthographicFront"/>
              <a:lightRig rig="threePt" dir="t"/>
            </a:scene3d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 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((6𝑀/𝐿〗^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(𝑃/𝐿))/𝑊𝑎)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15</xdr:col>
      <xdr:colOff>133350</xdr:colOff>
      <xdr:row>21</xdr:row>
      <xdr:rowOff>76200</xdr:rowOff>
    </xdr:from>
    <xdr:ext cx="1495424" cy="2285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065F18C-CD2D-4CAB-8F72-1AD4B22942BC}"/>
                </a:ext>
              </a:extLst>
            </xdr:cNvPr>
            <xdr:cNvSpPr txBox="1">
              <a:spLocks/>
            </xdr:cNvSpPr>
          </xdr:nvSpPr>
          <xdr:spPr>
            <a:xfrm>
              <a:off x="10715625" y="6057900"/>
              <a:ext cx="1495424" cy="228599"/>
            </a:xfrm>
            <a:prstGeom prst="rect">
              <a:avLst/>
            </a:prstGeom>
            <a:noFill/>
            <a:scene3d>
              <a:camera prst="orthographicFront"/>
              <a:lightRig rig="threePt" dir="t"/>
            </a:scene3d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sSup>
                      <m:sSupPr>
                        <m:ctrl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𝑣𝑑</m:t>
                        </m:r>
                      </m:e>
                      <m:sup>
                        <m: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sup>
                    </m:sSup>
                    <m:r>
                      <a:rPr lang="en-US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𝑏</m:t>
                        </m:r>
                      </m:e>
                    </m:d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𝑣𝑑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065F18C-CD2D-4CAB-8F72-1AD4B22942BC}"/>
                </a:ext>
              </a:extLst>
            </xdr:cNvPr>
            <xdr:cNvSpPr txBox="1">
              <a:spLocks/>
            </xdr:cNvSpPr>
          </xdr:nvSpPr>
          <xdr:spPr>
            <a:xfrm>
              <a:off x="10715625" y="6057900"/>
              <a:ext cx="1495424" cy="228599"/>
            </a:xfrm>
            <a:prstGeom prst="rect">
              <a:avLst/>
            </a:prstGeom>
            <a:noFill/>
            <a:scene3d>
              <a:camera prst="orthographicFront"/>
              <a:lightRig rig="threePt" dir="t"/>
            </a:scene3d>
            <a:sp3d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2𝑣𝑑〗^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2+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(2𝑎+𝑏)𝑣𝑑−𝑃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15</xdr:col>
      <xdr:colOff>127983</xdr:colOff>
      <xdr:row>22</xdr:row>
      <xdr:rowOff>53976</xdr:rowOff>
    </xdr:from>
    <xdr:ext cx="2596167" cy="393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F58C2D4-C62A-426A-B830-8D4B0B47F50B}"/>
                </a:ext>
              </a:extLst>
            </xdr:cNvPr>
            <xdr:cNvSpPr txBox="1">
              <a:spLocks/>
            </xdr:cNvSpPr>
          </xdr:nvSpPr>
          <xdr:spPr>
            <a:xfrm>
              <a:off x="11291283" y="6416676"/>
              <a:ext cx="2596167" cy="393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𝑑</m:t>
                    </m:r>
                    <m:r>
                      <a:rPr lang="th-TH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th-TH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𝑣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(2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𝑏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)±</m:t>
                        </m:r>
                        <m:rad>
                          <m:radPr>
                            <m:degHide m:val="on"/>
                            <m:ctrlPr>
                              <a:rPr lang="en-US" sz="1100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sSup>
                              <m:sSupPr>
                                <m:ctrlPr>
                                  <a:rPr lang="en-US" sz="110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((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𝑣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(2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𝑎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+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𝑏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))</m:t>
                                </m:r>
                              </m:e>
                              <m:sup>
                                <m:r>
                                  <a:rPr lang="en-US" sz="110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  <m:r>
                              <a:rPr lang="en-US" sz="110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8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𝑣𝑃</m:t>
                            </m:r>
                          </m:e>
                        </m:rad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𝑣</m:t>
                        </m:r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F58C2D4-C62A-426A-B830-8D4B0B47F50B}"/>
                </a:ext>
              </a:extLst>
            </xdr:cNvPr>
            <xdr:cNvSpPr txBox="1">
              <a:spLocks/>
            </xdr:cNvSpPr>
          </xdr:nvSpPr>
          <xdr:spPr>
            <a:xfrm>
              <a:off x="11291283" y="6416676"/>
              <a:ext cx="2596167" cy="393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𝑑</a:t>
              </a:r>
              <a:r>
                <a:rPr lang="th-TH" sz="1100" b="0" i="0">
                  <a:latin typeface="Cambria Math" panose="02040503050406030204" pitchFamily="18" charset="0"/>
                </a:rPr>
                <a:t> </a:t>
              </a:r>
              <a:r>
                <a:rPr lang="en-US" sz="1100" b="0" i="0">
                  <a:latin typeface="Cambria Math" panose="02040503050406030204" pitchFamily="18" charset="0"/>
                </a:rPr>
                <a:t>=</a:t>
              </a:r>
              <a:r>
                <a:rPr lang="th-TH" sz="1100" b="0" i="0">
                  <a:latin typeface="Cambria Math" panose="02040503050406030204" pitchFamily="18" charset="0"/>
                </a:rPr>
                <a:t> </a:t>
              </a:r>
              <a:r>
                <a:rPr lang="en-US" sz="1100" b="0" i="0">
                  <a:latin typeface="Cambria Math" panose="02040503050406030204" pitchFamily="18" charset="0"/>
                </a:rPr>
                <a:t> </a:t>
              </a:r>
              <a:r>
                <a:rPr lang="en-US" sz="1100" i="0">
                  <a:latin typeface="Cambria Math" panose="02040503050406030204" pitchFamily="18" charset="0"/>
                </a:rPr>
                <a:t> (−</a:t>
              </a:r>
              <a:r>
                <a:rPr lang="en-US" sz="1100" b="0" i="0">
                  <a:latin typeface="Cambria Math" panose="02040503050406030204" pitchFamily="18" charset="0"/>
                </a:rPr>
                <a:t>𝑣(2𝑎+𝑏)±√(〖((𝑣(2𝑎+𝑏))〗^</a:t>
              </a:r>
              <a:r>
                <a:rPr lang="en-US" sz="1100" i="0">
                  <a:latin typeface="Cambria Math" panose="02040503050406030204" pitchFamily="18" charset="0"/>
                </a:rPr>
                <a:t>2−</a:t>
              </a:r>
              <a:r>
                <a:rPr lang="en-US" sz="1100" b="0" i="0">
                  <a:latin typeface="Cambria Math" panose="02040503050406030204" pitchFamily="18" charset="0"/>
                </a:rPr>
                <a:t>8𝑣𝑃))/4𝑣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tabSelected="1" topLeftCell="N1" zoomScaleNormal="100" zoomScaleSheetLayoutView="100" workbookViewId="0">
      <selection activeCell="S7" sqref="S7"/>
    </sheetView>
  </sheetViews>
  <sheetFormatPr defaultColWidth="9.140625" defaultRowHeight="18"/>
  <cols>
    <col min="1" max="1" width="9.140625" style="1"/>
    <col min="2" max="2" width="7.5703125" style="1" customWidth="1"/>
    <col min="3" max="3" width="9.140625" style="1"/>
    <col min="4" max="4" width="9.28515625" style="1" bestFit="1" customWidth="1"/>
    <col min="5" max="5" width="9.140625" style="1"/>
    <col min="6" max="6" width="11.85546875" style="1" customWidth="1"/>
    <col min="7" max="7" width="12.28515625" style="1" customWidth="1"/>
    <col min="8" max="8" width="12.42578125" style="1" customWidth="1"/>
    <col min="9" max="9" width="8.28515625" style="1" customWidth="1"/>
    <col min="10" max="10" width="12.85546875" style="1" customWidth="1"/>
    <col min="11" max="11" width="10.5703125" style="1" customWidth="1"/>
    <col min="12" max="12" width="9.28515625" style="1" customWidth="1"/>
    <col min="13" max="13" width="13.7109375" style="1" customWidth="1"/>
    <col min="14" max="14" width="16.42578125" style="1" customWidth="1"/>
    <col min="15" max="15" width="14.7109375" style="1" customWidth="1"/>
    <col min="16" max="16" width="9" style="1" customWidth="1"/>
    <col min="17" max="17" width="12.7109375" style="1" customWidth="1"/>
    <col min="18" max="19" width="11.42578125" style="1" customWidth="1"/>
    <col min="20" max="20" width="7" style="1" customWidth="1"/>
    <col min="21" max="21" width="13.85546875" style="1" customWidth="1"/>
    <col min="22" max="22" width="11" style="1" customWidth="1"/>
    <col min="23" max="24" width="9.140625" style="1"/>
    <col min="25" max="25" width="10.7109375" style="1" bestFit="1" customWidth="1"/>
    <col min="26" max="16384" width="9.140625" style="1"/>
  </cols>
  <sheetData>
    <row r="1" spans="1:22" ht="21.7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4" t="s">
        <v>1</v>
      </c>
    </row>
    <row r="2" spans="1:22" ht="23.25" customHeight="1">
      <c r="A2" s="77"/>
      <c r="B2" s="77"/>
      <c r="C2" s="122" t="s">
        <v>2</v>
      </c>
      <c r="D2" s="122"/>
      <c r="E2" s="122"/>
      <c r="F2" s="122"/>
      <c r="G2" s="122"/>
      <c r="H2" s="122"/>
      <c r="I2" s="86" t="s">
        <v>3</v>
      </c>
      <c r="J2" s="87">
        <f ca="1">NOW()</f>
        <v>43153.339394444447</v>
      </c>
      <c r="K2" s="87"/>
      <c r="M2" s="25"/>
      <c r="N2" s="128" t="s">
        <v>2</v>
      </c>
      <c r="O2" s="128"/>
      <c r="P2" s="128"/>
      <c r="Q2" s="128"/>
      <c r="R2" s="128"/>
      <c r="S2" s="3" t="s">
        <v>3</v>
      </c>
      <c r="T2" s="125">
        <f ca="1">NOW()</f>
        <v>43153.339394444447</v>
      </c>
      <c r="U2" s="125"/>
    </row>
    <row r="3" spans="1:22" ht="24">
      <c r="A3" s="86" t="s">
        <v>4</v>
      </c>
      <c r="B3" s="50" t="s">
        <v>5</v>
      </c>
      <c r="C3" s="77"/>
      <c r="D3" s="77"/>
      <c r="E3" s="86" t="s">
        <v>6</v>
      </c>
      <c r="F3" s="51" t="s">
        <v>7</v>
      </c>
      <c r="G3" s="77"/>
      <c r="H3" s="77"/>
      <c r="I3" s="88"/>
      <c r="J3" s="89" t="s">
        <v>8</v>
      </c>
      <c r="K3" s="55" t="s">
        <v>9</v>
      </c>
      <c r="L3" s="3" t="s">
        <v>4</v>
      </c>
      <c r="M3" s="39" t="str">
        <f>B3</f>
        <v>รั้วบ้าน</v>
      </c>
      <c r="O3" s="3" t="s">
        <v>6</v>
      </c>
      <c r="P3" s="40" t="str">
        <f>F3</f>
        <v>New  Man</v>
      </c>
      <c r="T3" s="22" t="s">
        <v>8</v>
      </c>
      <c r="U3" s="41" t="str">
        <f>K3</f>
        <v>Fence</v>
      </c>
    </row>
    <row r="4" spans="1:22" ht="21.75">
      <c r="A4" s="4" t="s">
        <v>0</v>
      </c>
      <c r="B4" s="6"/>
      <c r="C4" s="2"/>
      <c r="D4" s="2"/>
      <c r="E4" s="5"/>
      <c r="F4" s="7"/>
      <c r="G4" s="2"/>
      <c r="H4" s="2"/>
      <c r="I4" s="2"/>
      <c r="J4" s="2"/>
      <c r="K4" s="2"/>
      <c r="L4" s="4" t="s">
        <v>1</v>
      </c>
      <c r="M4" s="2"/>
      <c r="N4" s="2"/>
      <c r="O4" s="2"/>
      <c r="P4" s="2"/>
      <c r="Q4" s="2"/>
      <c r="R4" s="2"/>
      <c r="S4" s="2"/>
      <c r="T4" s="2"/>
    </row>
    <row r="5" spans="1:22" ht="31.5">
      <c r="A5" s="77"/>
      <c r="B5" s="90"/>
      <c r="C5" s="90"/>
      <c r="D5" s="90"/>
      <c r="E5" s="77"/>
      <c r="F5" s="91" t="s">
        <v>10</v>
      </c>
      <c r="G5" s="76" t="s">
        <v>11</v>
      </c>
      <c r="H5" s="75"/>
      <c r="I5" s="75"/>
      <c r="J5" s="75"/>
      <c r="K5" s="75"/>
      <c r="N5" s="73">
        <f>MAX(SQRT((N18+M19)/(J10*H37)),SQRT(N31/(J10*H33)))</f>
        <v>15.591253466256614</v>
      </c>
      <c r="O5" s="74">
        <f>IF(N5=SQRT(N31/(J10*H33)),N31,IF(N5=SQRT((N18+M19)/(J10*H37)),N18+M19,MAX(N18+M19,N31)))</f>
        <v>2147.7874757045674</v>
      </c>
      <c r="P5" s="124" t="s">
        <v>12</v>
      </c>
      <c r="Q5" s="124"/>
      <c r="R5" s="124"/>
      <c r="S5" s="130">
        <f>O5</f>
        <v>2147.7874757045674</v>
      </c>
      <c r="T5" s="130"/>
      <c r="U5" s="1" t="s">
        <v>13</v>
      </c>
    </row>
    <row r="6" spans="1:22" ht="21.75">
      <c r="A6" s="92"/>
      <c r="B6" s="92"/>
      <c r="C6" s="92"/>
      <c r="D6" s="92"/>
      <c r="E6" s="92"/>
      <c r="F6" s="93"/>
      <c r="G6" s="86" t="s">
        <v>14</v>
      </c>
      <c r="H6" s="52">
        <v>173.334</v>
      </c>
      <c r="I6" s="83"/>
      <c r="J6" s="83"/>
      <c r="K6" s="83"/>
      <c r="N6" s="74">
        <f>MAX(N14/(H37*100*S16),M14/(H37*100*S16),N28/(H33*100*S16))</f>
        <v>3.8743639627619437</v>
      </c>
      <c r="O6" s="74">
        <f>IF(N6=N28/(H33*100*S16),N28,IF(N6=N14/(H37*100*S16),N14,IF(N6=M14/(H37*100*S16),M14,MAX(N14,M14))))</f>
        <v>1479.2456268221576</v>
      </c>
      <c r="P6" s="124" t="s">
        <v>15</v>
      </c>
      <c r="Q6" s="124"/>
      <c r="R6" s="124"/>
      <c r="S6" s="131">
        <f>O6</f>
        <v>1479.2456268221576</v>
      </c>
      <c r="T6" s="131"/>
      <c r="U6" s="1" t="s">
        <v>13</v>
      </c>
      <c r="V6" s="9"/>
    </row>
    <row r="7" spans="1:22" ht="25.5">
      <c r="A7" s="92"/>
      <c r="B7" s="92"/>
      <c r="C7" s="92"/>
      <c r="D7" s="92"/>
      <c r="E7" s="92"/>
      <c r="F7" s="93"/>
      <c r="G7" s="86" t="s">
        <v>16</v>
      </c>
      <c r="H7" s="53">
        <v>0.375</v>
      </c>
      <c r="I7" s="86" t="s">
        <v>17</v>
      </c>
      <c r="J7" s="94">
        <f>H6*H7</f>
        <v>65.000249999999994</v>
      </c>
      <c r="K7" s="83"/>
      <c r="N7" s="2"/>
      <c r="O7" s="2"/>
      <c r="P7" s="124" t="s">
        <v>18</v>
      </c>
      <c r="Q7" s="124"/>
      <c r="R7" s="124"/>
      <c r="S7" s="58">
        <v>1</v>
      </c>
      <c r="T7" s="1" t="s">
        <v>19</v>
      </c>
      <c r="U7" s="34" t="str">
        <f>IF(S7&lt;H37,"&lt;B  OK. #",IF(S7=H37,"=B  OK. #","&gt;B  NO.K. #"))</f>
        <v>=B  OK. #</v>
      </c>
    </row>
    <row r="8" spans="1:22" ht="25.5">
      <c r="A8" s="92"/>
      <c r="B8" s="92"/>
      <c r="C8" s="92"/>
      <c r="D8" s="92"/>
      <c r="E8" s="92"/>
      <c r="F8" s="93"/>
      <c r="G8" s="86" t="s">
        <v>20</v>
      </c>
      <c r="H8" s="54">
        <v>3000</v>
      </c>
      <c r="I8" s="86" t="s">
        <v>21</v>
      </c>
      <c r="J8" s="95">
        <f>IF(H8&gt;3000,1700,0.5*H8)</f>
        <v>1500</v>
      </c>
      <c r="K8" s="83"/>
      <c r="L8" s="15"/>
      <c r="M8" s="16"/>
      <c r="N8" s="127">
        <f>H27*H37</f>
        <v>2840</v>
      </c>
      <c r="O8" s="127"/>
      <c r="P8" s="124" t="str">
        <f>"กำหนดใช้เหล็กเสริมคอนกรีต       "&amp;IF(H8&lt;=2400,"RB","DB")</f>
        <v>กำหนดใช้เหล็กเสริมคอนกรีต       DB</v>
      </c>
      <c r="Q8" s="124"/>
      <c r="R8" s="124"/>
      <c r="S8" s="66">
        <v>12</v>
      </c>
      <c r="T8" s="1" t="s">
        <v>22</v>
      </c>
      <c r="U8" s="34" t="str">
        <f>IF(H8&lt;=2400,IF(S8&lt;=9,"  OK. #","  NO.K. #"),IF(AND(H8&gt;2400,S8&gt;9),"  OK. #","  NO.K. #"))</f>
        <v xml:space="preserve">  OK. #</v>
      </c>
    </row>
    <row r="9" spans="1:22" ht="21.75">
      <c r="A9" s="92"/>
      <c r="B9" s="92"/>
      <c r="C9" s="92"/>
      <c r="D9" s="77"/>
      <c r="E9" s="77"/>
      <c r="F9" s="77"/>
      <c r="G9" s="86" t="s">
        <v>23</v>
      </c>
      <c r="H9" s="96">
        <f>ROUNDDOWN(2.04*10^6/15210/H6^(1/2),0)</f>
        <v>10</v>
      </c>
      <c r="I9" s="86" t="s">
        <v>24</v>
      </c>
      <c r="J9" s="97">
        <f>1/(1+(J8/(H9*J7)))</f>
        <v>0.30232639264372946</v>
      </c>
      <c r="K9" s="83"/>
      <c r="L9" s="16"/>
      <c r="M9" s="9"/>
      <c r="N9" s="127"/>
      <c r="O9" s="127"/>
      <c r="P9" s="124" t="s">
        <v>25</v>
      </c>
      <c r="Q9" s="124"/>
      <c r="R9" s="124"/>
      <c r="S9" s="10">
        <f>(S8/10)/2</f>
        <v>0.6</v>
      </c>
      <c r="T9" s="1" t="s">
        <v>26</v>
      </c>
    </row>
    <row r="10" spans="1:22" ht="21.75">
      <c r="A10" s="92"/>
      <c r="B10" s="92"/>
      <c r="C10" s="92"/>
      <c r="D10" s="77"/>
      <c r="E10" s="77"/>
      <c r="F10" s="77"/>
      <c r="G10" s="86" t="s">
        <v>27</v>
      </c>
      <c r="H10" s="97">
        <f>1-(J9/3)</f>
        <v>0.8992245357854235</v>
      </c>
      <c r="I10" s="98" t="s">
        <v>28</v>
      </c>
      <c r="J10" s="94">
        <f>0.5*J7*J9*H10</f>
        <v>8.8354615600377873</v>
      </c>
      <c r="K10" s="83"/>
      <c r="L10" s="9"/>
      <c r="M10" s="9"/>
      <c r="N10" s="9"/>
      <c r="O10" s="9"/>
      <c r="P10" s="124" t="s">
        <v>29</v>
      </c>
      <c r="Q10" s="124"/>
      <c r="R10" s="124"/>
      <c r="S10" s="67">
        <v>7.5</v>
      </c>
      <c r="T10" s="1" t="s">
        <v>26</v>
      </c>
      <c r="V10" s="31"/>
    </row>
    <row r="11" spans="1:22">
      <c r="A11" s="77"/>
      <c r="B11" s="77"/>
      <c r="C11" s="77"/>
      <c r="D11" s="77"/>
      <c r="E11" s="77"/>
      <c r="F11" s="77" t="s">
        <v>30</v>
      </c>
      <c r="G11" s="77"/>
      <c r="H11" s="77"/>
      <c r="I11" s="77"/>
      <c r="J11" s="77"/>
      <c r="K11" s="77"/>
      <c r="L11" s="9"/>
      <c r="M11" s="9"/>
      <c r="N11" s="9"/>
      <c r="O11" s="9"/>
      <c r="P11" s="124" t="s">
        <v>31</v>
      </c>
      <c r="Q11" s="124"/>
      <c r="R11" s="124"/>
    </row>
    <row r="12" spans="1:22">
      <c r="A12" s="77"/>
      <c r="B12" s="77"/>
      <c r="C12" s="77"/>
      <c r="D12" s="77"/>
      <c r="E12" s="77"/>
      <c r="F12" s="77"/>
      <c r="G12" s="121" t="s">
        <v>32</v>
      </c>
      <c r="H12" s="56">
        <v>2800</v>
      </c>
      <c r="I12" s="77" t="s">
        <v>33</v>
      </c>
      <c r="J12" s="77"/>
      <c r="K12" s="77"/>
      <c r="L12" s="9"/>
      <c r="M12" s="9"/>
      <c r="N12" s="9"/>
      <c r="O12" s="70">
        <f>(H40*(H33-H19-H21/2)/H33)</f>
        <v>7898.4548104956275</v>
      </c>
      <c r="P12" s="124" t="s">
        <v>34</v>
      </c>
      <c r="Q12" s="124"/>
      <c r="R12" s="124"/>
      <c r="S12" s="13">
        <f>(H25*100-S10-S9)</f>
        <v>26.9</v>
      </c>
      <c r="T12" s="13" t="s">
        <v>26</v>
      </c>
      <c r="U12" s="31"/>
    </row>
    <row r="13" spans="1:22">
      <c r="A13" s="77"/>
      <c r="B13" s="77"/>
      <c r="C13" s="77"/>
      <c r="D13" s="77"/>
      <c r="E13" s="77"/>
      <c r="F13" s="77"/>
      <c r="G13" s="121" t="s">
        <v>35</v>
      </c>
      <c r="H13" s="57">
        <v>300</v>
      </c>
      <c r="I13" s="77" t="s">
        <v>36</v>
      </c>
      <c r="J13" s="77"/>
      <c r="K13" s="77"/>
      <c r="L13" s="9"/>
      <c r="O13" s="71">
        <f>H40-O12</f>
        <v>1717.0553935860053</v>
      </c>
      <c r="P13" s="124" t="s">
        <v>37</v>
      </c>
      <c r="Q13" s="124"/>
      <c r="R13" s="124"/>
      <c r="S13" s="124"/>
      <c r="U13" s="9"/>
    </row>
    <row r="14" spans="1:22" ht="22.5">
      <c r="A14" s="77"/>
      <c r="B14" s="77"/>
      <c r="C14" s="77"/>
      <c r="D14" s="77"/>
      <c r="E14" s="77"/>
      <c r="F14" s="123" t="s">
        <v>38</v>
      </c>
      <c r="G14" s="123"/>
      <c r="H14" s="58">
        <v>1.25</v>
      </c>
      <c r="I14" s="77" t="s">
        <v>19</v>
      </c>
      <c r="J14" s="77"/>
      <c r="K14" s="77"/>
      <c r="M14" s="43">
        <f>O13*H37/2*(H19+H21/2)+O12*H37*(H19+H21/2)-N8*(H19+H21/2)</f>
        <v>1479.2456268221576</v>
      </c>
      <c r="N14" s="17">
        <f>MAX(H12-(O13*H37/2*(H19+H21/2)+O12*H37*(H19+H21/2)-N8*(H19+H21/2)),H39*H37*(H33-H19-H21/2)+O14*H37/2*(H33-H19-H21/2)-N8*(H33-H19-H21/2))</f>
        <v>1320.7543731778424</v>
      </c>
      <c r="O14" s="32">
        <f>O12-H39</f>
        <v>7833.9650145772603</v>
      </c>
      <c r="P14" s="132" t="str">
        <f>IF(S5=N18,"  d  =   SQRT(M/(R*B))         =",IF(S5=M19,"  d  =   SQRT(M/(R*B))         =",IF(S5=N31,"  d  =   SQRT(M/(R*L))         =","  d  =   SQRT(M/(R*L))         =")))</f>
        <v xml:space="preserve">  d  =   SQRT(M/(R*L))         =</v>
      </c>
      <c r="Q14" s="132"/>
      <c r="R14" s="132"/>
      <c r="S14" s="20">
        <f>IF(S5=N18,SQRT(S5/(J10*H37)),IF(S5=M19,SQRT(S5/(J10*H37)),IF(S5=N31,SQRT(S5/(J10*H33)),SQRT(S5/(J10*H33)))))</f>
        <v>13.17701420355751</v>
      </c>
      <c r="T14" s="19" t="str">
        <f>"cm."&amp;IF(S14&lt;S12,"&lt; d  OK. #","&gt; d   Fail #")</f>
        <v>cm.&lt; d  OK. #</v>
      </c>
      <c r="U14" s="31"/>
    </row>
    <row r="15" spans="1:22">
      <c r="A15" s="77"/>
      <c r="B15" s="77"/>
      <c r="C15" s="77"/>
      <c r="D15" s="77"/>
      <c r="E15" s="77"/>
      <c r="F15" s="123" t="s">
        <v>39</v>
      </c>
      <c r="G15" s="123"/>
      <c r="H15" s="59">
        <v>1600</v>
      </c>
      <c r="I15" s="77" t="s">
        <v>40</v>
      </c>
      <c r="J15" s="77"/>
      <c r="K15" s="77"/>
      <c r="L15" s="9"/>
      <c r="M15" s="120"/>
      <c r="N15" s="120"/>
      <c r="O15" s="9"/>
      <c r="P15" s="124" t="s">
        <v>41</v>
      </c>
      <c r="Q15" s="124"/>
      <c r="R15" s="124"/>
      <c r="S15" s="124"/>
      <c r="U15" s="29"/>
    </row>
    <row r="16" spans="1:22">
      <c r="A16" s="77"/>
      <c r="B16" s="77"/>
      <c r="C16" s="77"/>
      <c r="D16" s="77"/>
      <c r="E16" s="77"/>
      <c r="F16" s="77" t="s">
        <v>42</v>
      </c>
      <c r="G16" s="77"/>
      <c r="H16" s="77"/>
      <c r="I16" s="77"/>
      <c r="J16" s="77"/>
      <c r="K16" s="116">
        <f>1/2*H39*H37*(H33-H19-H21/2)^(2)+1/3*O14*H37*(H33-H19-H21/2)^(2)-1/2*N8*(H33-H19-H21/2)^(2)</f>
        <v>1618.1667881438291</v>
      </c>
      <c r="L16" s="117">
        <f>IF(K16&gt;K17,IF(H13&lt;0,H13*-1,H13),0)</f>
        <v>300</v>
      </c>
      <c r="M16" s="9"/>
      <c r="N16" s="9"/>
      <c r="O16" s="9"/>
      <c r="P16" s="124" t="s">
        <v>43</v>
      </c>
      <c r="Q16" s="124"/>
      <c r="R16" s="124"/>
      <c r="S16" s="9">
        <f>0.29*SQRT(H6)</f>
        <v>3.8180347562587742</v>
      </c>
      <c r="T16" s="1" t="s">
        <v>44</v>
      </c>
    </row>
    <row r="17" spans="1:26">
      <c r="A17" s="77"/>
      <c r="B17" s="77"/>
      <c r="C17" s="77"/>
      <c r="D17" s="77"/>
      <c r="E17" s="77"/>
      <c r="F17" s="99" t="str">
        <f>"               Wa  = "&amp;H14&amp;" x "&amp;H15&amp;" + 2400 x T  =  "&amp;H14*H15&amp;" + 2400 x T"</f>
        <v xml:space="preserve">               Wa  = 1.25 x 1600 + 2400 x T  =  2000 + 2400 x T</v>
      </c>
      <c r="G17" s="77"/>
      <c r="H17" s="77"/>
      <c r="I17" s="78"/>
      <c r="J17" s="77"/>
      <c r="K17" s="116">
        <f>1/2*O12*H37*(H19+H21/2)^(2)+2/3*O13*H37*(H19+H21/2)^(2)-1/2*N8*(H19+H21/2)^(2)</f>
        <v>229.62068756073859</v>
      </c>
      <c r="L17" s="117">
        <f>IF(K17&gt;K16,IF(H13&lt;0,H13*-1,H13),0)</f>
        <v>0</v>
      </c>
      <c r="N17" s="17"/>
      <c r="O17" s="9"/>
      <c r="P17" s="124" t="s">
        <v>45</v>
      </c>
      <c r="Q17" s="124"/>
      <c r="R17" s="124"/>
      <c r="S17" s="124"/>
    </row>
    <row r="18" spans="1:26" ht="22.5">
      <c r="A18" s="77"/>
      <c r="B18" s="77"/>
      <c r="C18" s="77"/>
      <c r="D18" s="77"/>
      <c r="E18" s="77"/>
      <c r="F18" s="77" t="s">
        <v>46</v>
      </c>
      <c r="G18" s="77"/>
      <c r="H18" s="77"/>
      <c r="I18" s="78"/>
      <c r="J18" s="77"/>
      <c r="N18" s="129">
        <f>1/2*H39*H37*(H33-H19-H21/2)^(2)+1/3*O14*H37*(H33-H19-H21/2)^(2)-1/2*N8*(H33-H19-H21/2)^(2)+L16</f>
        <v>1918.1667881438291</v>
      </c>
      <c r="O18" s="9"/>
      <c r="P18" s="132" t="str">
        <f>IF(S6=M14,"   d   =   V/(B*v)                   =",IF(S6=N14,"   d   =   V/(B*v)                   =",IF(S6=N28,"   d   =   V/(L*v)                   =","   d   =   V/(L*v)                   =")))</f>
        <v xml:space="preserve">   d   =   V/(B*v)                   =</v>
      </c>
      <c r="Q18" s="132"/>
      <c r="R18" s="132"/>
      <c r="S18" s="21">
        <f>IF(S6=M14,S6/(H37*100*S16),IF(S6=N14,S6/(H37*100*S16),IF(S6=N28,S6/(H33*100*S16),S6/(H33*100*S16))))</f>
        <v>3.8743639627619437</v>
      </c>
      <c r="T18" s="14" t="str">
        <f>"cm."&amp;IF(S18&lt;S12,"&lt; d  OK. #","&gt; d   Fail #")</f>
        <v>cm.&lt; d  OK. #</v>
      </c>
    </row>
    <row r="19" spans="1:26" ht="22.5">
      <c r="A19" s="77"/>
      <c r="B19" s="77"/>
      <c r="C19" s="77"/>
      <c r="D19" s="77"/>
      <c r="E19" s="77"/>
      <c r="F19" s="77"/>
      <c r="G19" s="121" t="s">
        <v>47</v>
      </c>
      <c r="H19" s="60">
        <v>0.1</v>
      </c>
      <c r="I19" s="77" t="s">
        <v>19</v>
      </c>
      <c r="J19" s="110" t="str">
        <f>IF(H19&gt;0.2,"ฐานรากห่างเขตเกินไป","")</f>
        <v/>
      </c>
      <c r="M19" s="118">
        <f>1/2*O12*H37*(H19+H21/2)^(2)+2/3*O13*H37*(H19+H21/2)^(2)-1/2*N8*(H19+H21/2)^(2)+L17</f>
        <v>229.62068756073859</v>
      </c>
      <c r="N19" s="129"/>
      <c r="O19" s="9"/>
      <c r="P19" s="124" t="s">
        <v>48</v>
      </c>
      <c r="Q19" s="124"/>
      <c r="R19" s="124"/>
      <c r="S19" s="124"/>
      <c r="Y19" s="28"/>
    </row>
    <row r="20" spans="1:26" ht="21.75" customHeight="1">
      <c r="A20" s="77"/>
      <c r="B20" s="77"/>
      <c r="C20" s="77"/>
      <c r="D20" s="77"/>
      <c r="E20" s="77"/>
      <c r="F20" s="77" t="s">
        <v>49</v>
      </c>
      <c r="G20" s="121"/>
      <c r="H20" s="79"/>
      <c r="I20" s="77"/>
      <c r="J20" s="114"/>
      <c r="K20" s="77"/>
      <c r="L20" s="9"/>
      <c r="N20" s="18"/>
      <c r="O20" s="9"/>
      <c r="P20" s="124" t="s">
        <v>50</v>
      </c>
      <c r="Q20" s="124"/>
      <c r="R20" s="124"/>
      <c r="S20" s="9">
        <f>0.53*SQRT(H6)</f>
        <v>6.9777876579901745</v>
      </c>
      <c r="T20" s="1" t="s">
        <v>44</v>
      </c>
    </row>
    <row r="21" spans="1:26">
      <c r="A21" s="77"/>
      <c r="B21" s="77"/>
      <c r="C21" s="77"/>
      <c r="D21" s="77"/>
      <c r="E21" s="77"/>
      <c r="F21" s="77"/>
      <c r="G21" s="121" t="s">
        <v>51</v>
      </c>
      <c r="H21" s="61">
        <v>0.3</v>
      </c>
      <c r="I21" s="77" t="s">
        <v>19</v>
      </c>
      <c r="J21" s="116">
        <f>IF(2*S12+S7*100&gt;H37*100,0,H21)</f>
        <v>0</v>
      </c>
      <c r="K21" s="77"/>
      <c r="L21" s="9"/>
      <c r="M21" s="9"/>
      <c r="N21" s="9"/>
      <c r="O21" s="9"/>
      <c r="P21" s="124" t="s">
        <v>52</v>
      </c>
      <c r="Q21" s="124"/>
      <c r="R21" s="124"/>
      <c r="S21" s="124"/>
    </row>
    <row r="22" spans="1:26" ht="23.25" customHeight="1">
      <c r="A22" s="77"/>
      <c r="B22" s="77"/>
      <c r="C22" s="77"/>
      <c r="D22" s="77"/>
      <c r="E22" s="77"/>
      <c r="F22" s="100" t="s">
        <v>53</v>
      </c>
      <c r="G22" s="77"/>
      <c r="H22" s="77"/>
      <c r="I22" s="121"/>
      <c r="J22" s="77"/>
      <c r="K22" s="77"/>
      <c r="L22" s="9"/>
      <c r="M22" s="9"/>
      <c r="N22" s="9"/>
      <c r="O22" s="9"/>
      <c r="R22" s="72" t="s">
        <v>54</v>
      </c>
      <c r="S22" s="12">
        <f>ROUND(IF((2*S12+S7*100)&gt;H37*100,S24*(IF((S7*100+S12)&gt;H37*100,H37*100,(S7*100+S12))*S20)-H12,2*S20*S24^(2)+S20*(2*J21*100+S7*100)*S24-H12),2)</f>
        <v>0</v>
      </c>
      <c r="T22" s="1" t="s">
        <v>33</v>
      </c>
      <c r="U22" s="34" t="str">
        <f>IF(0&lt;=S22," = 0   OK. #"," &lt; 0  Fail #")</f>
        <v xml:space="preserve"> = 0   OK. #</v>
      </c>
    </row>
    <row r="23" spans="1:26" ht="32.25" customHeight="1">
      <c r="A23" s="77"/>
      <c r="B23" s="77"/>
      <c r="C23" s="77"/>
      <c r="D23" s="77"/>
      <c r="E23" s="77"/>
      <c r="F23" s="123" t="s">
        <v>55</v>
      </c>
      <c r="G23" s="123"/>
      <c r="H23" s="62">
        <v>10000</v>
      </c>
      <c r="I23" s="77" t="s">
        <v>56</v>
      </c>
      <c r="J23" s="80"/>
      <c r="K23" s="77"/>
      <c r="L23" s="9"/>
      <c r="M23" s="9"/>
      <c r="N23" s="9"/>
      <c r="O23" s="9"/>
    </row>
    <row r="24" spans="1:26" ht="22.5">
      <c r="A24" s="77"/>
      <c r="B24" s="77"/>
      <c r="C24" s="77"/>
      <c r="D24" s="77"/>
      <c r="E24" s="77"/>
      <c r="F24" s="77" t="s">
        <v>57</v>
      </c>
      <c r="G24" s="121"/>
      <c r="H24" s="80"/>
      <c r="I24" s="77"/>
      <c r="J24" s="80"/>
      <c r="K24" s="77"/>
      <c r="L24" s="9"/>
      <c r="M24" s="9"/>
      <c r="N24" s="9"/>
      <c r="O24" s="43">
        <f>H27*H33</f>
        <v>3975.9999999999995</v>
      </c>
      <c r="P24" s="124" t="str">
        <f>IF((2*S12+S7*100)&gt;H37*100,"เมื่อ  (2d+b) &gt; B  ดังนั้น  a = 0  ,    d  =","แทนค่าสูตร                                  d  =")</f>
        <v>เมื่อ  (2d+b) &gt; B  ดังนั้น  a = 0  ,    d  =</v>
      </c>
      <c r="Q24" s="124"/>
      <c r="R24" s="124"/>
      <c r="S24" s="36">
        <f>IF((2*S12+S7*100)&gt;H37*100,H12/(IF((S7*100+S12)&gt;H37*100,H37*100,(S7*100+S12))*S20),MAX((-(S20*(2*J21*100+S7*100))+SQRT(((S20*(2*J21*100+S7*100)))^(2)+8*S20*H12))/(4*S20),(-(S20*(2*J21*100+S7*100))-SQRT(((S20*(2*J21*100+S7*100)))^(2)+8*S20*H12))/(4*S20)))</f>
        <v>4.0127331716575751</v>
      </c>
      <c r="T24" s="14" t="str">
        <f>"cm."&amp;IF(S24&lt;=S12,"&lt; d  OK. #"," &gt; d  Fail #")</f>
        <v>cm.&lt; d  OK. #</v>
      </c>
    </row>
    <row r="25" spans="1:26" ht="23.25" customHeight="1">
      <c r="A25" s="77"/>
      <c r="B25" s="77"/>
      <c r="C25" s="77"/>
      <c r="D25" s="77"/>
      <c r="E25" s="77"/>
      <c r="F25" s="77"/>
      <c r="G25" s="121" t="s">
        <v>58</v>
      </c>
      <c r="H25" s="63">
        <v>0.35</v>
      </c>
      <c r="I25" s="77" t="s">
        <v>19</v>
      </c>
      <c r="J25" s="77"/>
      <c r="K25" s="77"/>
      <c r="L25" s="9"/>
      <c r="M25" s="9"/>
      <c r="N25" s="9"/>
      <c r="O25" s="48"/>
      <c r="P25" s="133" t="s">
        <v>59</v>
      </c>
      <c r="Q25" s="133"/>
      <c r="R25" s="134" t="str">
        <f>IF(AND(S14&lt;=S12,S18&lt;=S12,S24&lt;=S12),H25*100&amp;" cm. # ใช้ได้ตามที่สมมุติไว้",H25*100&amp;" cm. # ต้องแก้ไข")</f>
        <v>35 cm. # ใช้ได้ตามที่สมมุติไว้</v>
      </c>
      <c r="S25" s="134"/>
      <c r="T25" s="134"/>
      <c r="U25" s="134"/>
      <c r="Y25" s="31"/>
    </row>
    <row r="26" spans="1:26" ht="23.25" customHeight="1">
      <c r="A26" s="77"/>
      <c r="B26" s="77"/>
      <c r="C26" s="77"/>
      <c r="D26" s="77"/>
      <c r="E26" s="77"/>
      <c r="F26" s="77" t="s">
        <v>60</v>
      </c>
      <c r="G26" s="81"/>
      <c r="H26" s="82"/>
      <c r="I26" s="77"/>
      <c r="J26" s="77"/>
      <c r="K26" s="77"/>
      <c r="L26" s="9"/>
      <c r="M26" s="9"/>
      <c r="N26" s="9"/>
      <c r="O26" s="9"/>
      <c r="P26" s="124" t="str">
        <f>"หน่วยแรงยึดหน่วง u  = 3.23/D*SQRT(fc') = "&amp;ROUND(3.23/(S8/10)*SQRT(H6),2)&amp;" ksc."</f>
        <v>หน่วยแรงยึดหน่วง u  = 3.23/D*SQRT(fc') = 35.44 ksc.</v>
      </c>
      <c r="Q26" s="124"/>
      <c r="R26" s="124"/>
      <c r="S26" s="124"/>
      <c r="T26" s="124"/>
    </row>
    <row r="27" spans="1:26" ht="23.25" customHeight="1">
      <c r="C27" s="77"/>
      <c r="D27" s="77"/>
      <c r="E27" s="77"/>
      <c r="F27" s="77"/>
      <c r="G27" s="121" t="s">
        <v>61</v>
      </c>
      <c r="H27" s="101">
        <f>(H14*H15+H25*2400)</f>
        <v>2840</v>
      </c>
      <c r="I27" s="77" t="s">
        <v>56</v>
      </c>
      <c r="J27" s="77"/>
      <c r="K27" s="77"/>
      <c r="L27" s="9"/>
      <c r="M27" s="9"/>
      <c r="N27" s="9"/>
      <c r="O27" s="32">
        <f>(H40-H39)/2</f>
        <v>4775.5102040816328</v>
      </c>
      <c r="P27" s="124" t="s">
        <v>62</v>
      </c>
      <c r="Q27" s="124"/>
      <c r="R27" s="124"/>
      <c r="S27" s="49">
        <f>IF(H8&lt;=2400,MIN(1.615*SQRT(H6)/(S8/10),11),MIN(3.23*SQRT(H6)/(S8/10),35))</f>
        <v>35</v>
      </c>
      <c r="T27" s="1" t="s">
        <v>63</v>
      </c>
    </row>
    <row r="28" spans="1:26" ht="23.25" customHeight="1">
      <c r="C28" s="77"/>
      <c r="D28" s="77"/>
      <c r="E28" s="77"/>
      <c r="F28" s="77" t="s">
        <v>64</v>
      </c>
      <c r="G28" s="77"/>
      <c r="H28" s="77"/>
      <c r="I28" s="77"/>
      <c r="J28" s="77"/>
      <c r="K28" s="77"/>
      <c r="L28" s="9"/>
      <c r="M28" s="9"/>
      <c r="N28" s="42">
        <f>H39*H33*H37/2+(H40-H39)/2*H33*H37/2-O24*H37/2</f>
        <v>1399.9999999999998</v>
      </c>
      <c r="O28" s="9"/>
      <c r="P28" s="124" t="s">
        <v>65</v>
      </c>
      <c r="Q28" s="124"/>
      <c r="R28" s="124"/>
      <c r="S28" s="124"/>
      <c r="T28" s="124"/>
      <c r="U28" s="27"/>
    </row>
    <row r="29" spans="1:26">
      <c r="C29" s="77"/>
      <c r="D29" s="77"/>
      <c r="E29" s="77"/>
      <c r="F29" s="121" t="s">
        <v>66</v>
      </c>
      <c r="G29" s="77" t="s">
        <v>67</v>
      </c>
      <c r="H29" s="78"/>
      <c r="I29" s="78"/>
      <c r="J29" s="111">
        <f>H12*(H33/2-H19-H21/2)+H13</f>
        <v>1559.9999999999998</v>
      </c>
      <c r="K29" s="77" t="s">
        <v>36</v>
      </c>
      <c r="L29" s="9"/>
      <c r="M29" s="9"/>
      <c r="N29" s="47"/>
      <c r="O29" s="9"/>
      <c r="P29" s="119" t="s">
        <v>68</v>
      </c>
      <c r="Q29" s="137" t="str">
        <f xml:space="preserve">  ROUND(N18,3)&amp;" + "&amp;ROUND(M19,3)&amp;"  =  "</f>
        <v xml:space="preserve">1918.167 + 229.621  =  </v>
      </c>
      <c r="R29" s="137"/>
      <c r="S29" s="9">
        <f>N18+M19</f>
        <v>2147.7874757045674</v>
      </c>
      <c r="T29" s="1" t="s">
        <v>13</v>
      </c>
      <c r="U29" s="28"/>
    </row>
    <row r="30" spans="1:26" ht="23.25" customHeight="1">
      <c r="C30" s="77"/>
      <c r="D30" s="77"/>
      <c r="E30" s="77"/>
      <c r="F30" s="121" t="s">
        <v>69</v>
      </c>
      <c r="G30" s="77" t="s">
        <v>70</v>
      </c>
      <c r="H30" s="78"/>
      <c r="I30" s="78"/>
      <c r="J30" s="103"/>
      <c r="K30" s="77"/>
      <c r="L30" s="9"/>
      <c r="M30" s="9"/>
      <c r="N30" s="9"/>
      <c r="O30" s="9"/>
      <c r="P30" s="119" t="s">
        <v>71</v>
      </c>
      <c r="Q30" s="26">
        <f>IF(N14&lt;0,-1*MAX(N14,M14),MAX(N14,M14))</f>
        <v>1479.2456268221576</v>
      </c>
      <c r="R30" s="1" t="s">
        <v>33</v>
      </c>
      <c r="X30" s="9"/>
    </row>
    <row r="31" spans="1:26">
      <c r="C31" s="77"/>
      <c r="D31" s="77"/>
      <c r="E31" s="77"/>
      <c r="F31" s="121" t="s">
        <v>72</v>
      </c>
      <c r="G31" s="77" t="s">
        <v>73</v>
      </c>
      <c r="H31" s="78"/>
      <c r="I31" s="78"/>
      <c r="J31" s="104"/>
      <c r="K31" s="77"/>
      <c r="L31" s="9"/>
      <c r="M31" s="9"/>
      <c r="N31" s="69">
        <f>1/2*H39*H33*(H37/2)^(2)+1/2*(H40-H39)*H33*(H37/2)^(2)-1/2*O24*(H37/2)^(2)</f>
        <v>1185.7142857142856</v>
      </c>
      <c r="O31" s="9"/>
      <c r="P31" s="119" t="s">
        <v>74</v>
      </c>
      <c r="Q31" s="136" t="s">
        <v>75</v>
      </c>
      <c r="R31" s="136"/>
      <c r="S31" s="24">
        <f>S29/(J8*H10*S12/100)</f>
        <v>5.9194263061393642</v>
      </c>
      <c r="T31" s="13" t="s">
        <v>76</v>
      </c>
      <c r="U31" s="28"/>
      <c r="W31" s="11"/>
      <c r="Z31" s="68"/>
    </row>
    <row r="32" spans="1:26" ht="20.25">
      <c r="C32" s="77"/>
      <c r="D32" s="77"/>
      <c r="E32" s="77"/>
      <c r="F32" s="77" t="s">
        <v>77</v>
      </c>
      <c r="G32" s="77"/>
      <c r="H32" s="78"/>
      <c r="I32" s="78"/>
      <c r="J32" s="104"/>
      <c r="K32" s="77"/>
      <c r="L32" s="9"/>
      <c r="M32" s="9"/>
      <c r="N32" s="42"/>
      <c r="O32" s="9"/>
      <c r="P32" s="115" t="s">
        <v>78</v>
      </c>
      <c r="Q32" s="136" t="s">
        <v>79</v>
      </c>
      <c r="R32" s="136"/>
      <c r="S32" s="24">
        <f>Q30/(S27*H10*S12)</f>
        <v>1.7472370139774891</v>
      </c>
      <c r="T32" s="13" t="s">
        <v>26</v>
      </c>
      <c r="U32" s="28"/>
    </row>
    <row r="33" spans="1:20" ht="22.5">
      <c r="A33" s="77"/>
      <c r="B33" s="77"/>
      <c r="C33" s="77"/>
      <c r="D33" s="77"/>
      <c r="E33" s="77"/>
      <c r="F33" s="77"/>
      <c r="G33" s="121" t="s">
        <v>80</v>
      </c>
      <c r="H33" s="64">
        <v>1.4</v>
      </c>
      <c r="I33" s="77" t="s">
        <v>19</v>
      </c>
      <c r="J33" s="110" t="str">
        <f>IF(H33&lt;(H19+H21+H25),"&lt;= ความยาวฐานรากน้อยเกินไป","")</f>
        <v/>
      </c>
      <c r="K33" s="77"/>
      <c r="L33" s="30"/>
      <c r="P33" s="124" t="s">
        <v>81</v>
      </c>
      <c r="Q33" s="124"/>
      <c r="R33" s="124"/>
      <c r="S33" s="124"/>
      <c r="T33" s="124"/>
    </row>
    <row r="34" spans="1:20" ht="20.25">
      <c r="A34" s="77"/>
      <c r="B34" s="77"/>
      <c r="C34" s="77"/>
      <c r="D34" s="77"/>
      <c r="E34" s="77"/>
      <c r="F34" s="77" t="s">
        <v>82</v>
      </c>
      <c r="G34" s="77"/>
      <c r="H34" s="105"/>
      <c r="I34" s="105"/>
      <c r="J34" s="105"/>
      <c r="K34" s="106"/>
      <c r="L34" s="119"/>
      <c r="M34" s="45"/>
      <c r="N34" s="35"/>
      <c r="P34" s="119" t="s">
        <v>83</v>
      </c>
      <c r="Q34" s="12">
        <f>N31</f>
        <v>1185.7142857142856</v>
      </c>
      <c r="R34" s="1" t="s">
        <v>13</v>
      </c>
      <c r="S34" s="35"/>
    </row>
    <row r="35" spans="1:20">
      <c r="A35" s="77"/>
      <c r="B35" s="77"/>
      <c r="C35" s="77"/>
      <c r="D35" s="77"/>
      <c r="E35" s="77"/>
      <c r="F35" s="77" t="s">
        <v>84</v>
      </c>
      <c r="G35" s="77"/>
      <c r="H35" s="77"/>
      <c r="I35" s="77"/>
      <c r="J35" s="77"/>
      <c r="K35" s="77"/>
      <c r="L35" s="119"/>
      <c r="M35" s="35"/>
      <c r="P35" s="119" t="s">
        <v>85</v>
      </c>
      <c r="Q35" s="12">
        <f>IF(N28&lt;0,-1*N28,N28)</f>
        <v>1399.9999999999998</v>
      </c>
      <c r="R35" s="1" t="s">
        <v>33</v>
      </c>
    </row>
    <row r="36" spans="1:20">
      <c r="A36" s="77"/>
      <c r="B36" s="77"/>
      <c r="C36" s="77"/>
      <c r="D36" s="77"/>
      <c r="E36" s="77"/>
      <c r="F36" s="77" t="s">
        <v>86</v>
      </c>
      <c r="G36" s="107"/>
      <c r="H36" s="108"/>
      <c r="I36" s="109" t="s">
        <v>87</v>
      </c>
      <c r="J36" s="102">
        <f>ROUNDUP((6*J29/H33^(2)-H12/H33)/H27,2)</f>
        <v>0.98</v>
      </c>
      <c r="K36" s="77" t="s">
        <v>19</v>
      </c>
      <c r="L36" s="119"/>
      <c r="M36" s="46"/>
      <c r="N36" s="35"/>
      <c r="P36" s="119" t="s">
        <v>74</v>
      </c>
      <c r="Q36" s="136" t="s">
        <v>88</v>
      </c>
      <c r="R36" s="136"/>
      <c r="S36" s="24">
        <f>Q34/(J8*H10*S12/100)</f>
        <v>3.2678970400085481</v>
      </c>
      <c r="T36" s="13" t="s">
        <v>76</v>
      </c>
    </row>
    <row r="37" spans="1:20" ht="24">
      <c r="A37" s="77"/>
      <c r="B37" s="77"/>
      <c r="C37" s="77"/>
      <c r="D37" s="77"/>
      <c r="E37" s="77"/>
      <c r="F37" s="77" t="s">
        <v>89</v>
      </c>
      <c r="G37" s="77"/>
      <c r="H37" s="65">
        <v>1</v>
      </c>
      <c r="I37" s="77" t="s">
        <v>19</v>
      </c>
      <c r="J37" s="110" t="str">
        <f>IF(AND(H40&lt;H23,H37&gt;J36,H39&gt;0),"","&lt;= ต้องเพิ่มความกว้าง")</f>
        <v/>
      </c>
      <c r="K37" s="81"/>
      <c r="L37" s="119"/>
      <c r="M37" s="46"/>
      <c r="N37" s="35"/>
      <c r="P37" s="115" t="s">
        <v>78</v>
      </c>
      <c r="Q37" s="136" t="s">
        <v>90</v>
      </c>
      <c r="R37" s="136"/>
      <c r="S37" s="24">
        <f>Q35/(S27*H10*S12)</f>
        <v>1.6536346467513137</v>
      </c>
      <c r="T37" s="13" t="s">
        <v>26</v>
      </c>
    </row>
    <row r="38" spans="1:20">
      <c r="A38" s="77"/>
      <c r="B38" s="77"/>
      <c r="C38" s="77"/>
      <c r="D38" s="77"/>
      <c r="E38" s="77"/>
      <c r="F38" s="77" t="s">
        <v>91</v>
      </c>
      <c r="G38" s="77"/>
      <c r="H38" s="77"/>
      <c r="I38" s="77"/>
      <c r="J38" s="77">
        <f>H27*H37</f>
        <v>2840</v>
      </c>
      <c r="K38" s="77" t="s">
        <v>92</v>
      </c>
      <c r="L38" s="126" t="s">
        <v>93</v>
      </c>
      <c r="M38" s="126"/>
      <c r="N38" s="126"/>
      <c r="O38" s="126"/>
      <c r="P38" s="126"/>
      <c r="Q38" s="126"/>
      <c r="R38" s="126"/>
    </row>
    <row r="39" spans="1:20" ht="22.5">
      <c r="A39" s="77"/>
      <c r="B39" s="77"/>
      <c r="C39" s="77"/>
      <c r="D39" s="77"/>
      <c r="E39" s="121"/>
      <c r="F39" s="77" t="s">
        <v>94</v>
      </c>
      <c r="G39" s="77"/>
      <c r="H39" s="111">
        <f>H12/(H33*H37)-6*J29/(H37*H33^(2))+H27</f>
        <v>64.489795918367236</v>
      </c>
      <c r="I39" s="77" t="s">
        <v>56</v>
      </c>
      <c r="J39" s="112" t="str">
        <f>IF(H39&gt;0,"&gt; 0  O.K.#",IF(H39=0,"= 0  O.K.#","&lt; 0  Fail.#"))</f>
        <v>&gt; 0  O.K.#</v>
      </c>
      <c r="K39" s="112"/>
      <c r="L39" s="1" t="s">
        <v>95</v>
      </c>
      <c r="O39" s="135" t="str">
        <f>" "&amp;ROUND(0.00125*H37*100*H25*100,3)&amp;" kg/cm^2"&amp;",     ใช้  "&amp;ROUNDUP(0.00125*H37*100*H25*100,0)&amp;IF(S8&gt;=9,IF(H8&lt;=2400," RB "," DB "))&amp;S8&amp;"mm.   "</f>
        <v xml:space="preserve"> 4.375 kg/cm^2,     ใช้  5 DB 12mm.   </v>
      </c>
      <c r="P39" s="135"/>
      <c r="Q39" s="135"/>
      <c r="R39" s="135"/>
      <c r="S39" s="24"/>
      <c r="T39" s="13"/>
    </row>
    <row r="40" spans="1:20" ht="22.5">
      <c r="A40" s="77"/>
      <c r="B40" s="77"/>
      <c r="C40" s="77"/>
      <c r="D40" s="77"/>
      <c r="E40" s="77"/>
      <c r="F40" s="77" t="s">
        <v>96</v>
      </c>
      <c r="G40" s="77"/>
      <c r="H40" s="111">
        <f>H12/(H33*H37)+6*J29/(H37*H33^(2))+H27</f>
        <v>9615.5102040816328</v>
      </c>
      <c r="I40" s="77" t="s">
        <v>56</v>
      </c>
      <c r="J40" s="113" t="str">
        <f>IF(H40&lt;H23,"&lt; p(max)  O.K.#",IF(H40=H23,"= p(max)  O.K.#"," &gt; p(max) Fail.#"))</f>
        <v>&lt; p(max)  O.K.#</v>
      </c>
      <c r="K40" s="113"/>
      <c r="L40" s="33" t="s">
        <v>97</v>
      </c>
      <c r="O40" s="135" t="str">
        <f>" "&amp;ROUND(0.00125*H33*100*H25*100,3)&amp;" kg/cm^2"&amp;",     ใช้  "&amp;ROUNDUP(0.00125*H33*100*H25*100,0)&amp;IF(S8&gt;=9,IF(H8&lt;=2400," RB "," DB "))&amp;S8&amp;"mm.   "</f>
        <v xml:space="preserve"> 6.125 kg/cm^2,     ใช้  7 DB 12mm.   </v>
      </c>
      <c r="P40" s="135"/>
      <c r="Q40" s="135"/>
      <c r="R40" s="135"/>
      <c r="S40" s="36"/>
      <c r="T40" s="35"/>
    </row>
    <row r="41" spans="1:20" ht="24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30" t="s">
        <v>98</v>
      </c>
      <c r="M41" s="8"/>
      <c r="N41" s="8"/>
      <c r="O41" s="37" t="str">
        <f>"ใช้  "&amp;MAX(ROUNDUP((S31/(PI()/4*(S8/10)^(2))),0),ROUNDUP(0.00125*H37*100*H25*100,0),ROUNDUP(S32/(PI()*(S8/10)),0))&amp;IF(S8&gt;=9,IF(H8&lt;=2400," RB "," DB "))&amp;S8&amp;"mm. ,  As = "&amp;ROUND(MAX(ROUNDUP((S31/(PI()/4*(S8/10)^(2))),0),ROUNDUP(0.00125*H37*100*H25*100,0),ROUNDUP(S32/(PI()*(S8/10)),0))*PI()/4*(S8/10)^(2),3)&amp;" cm.^2 ,"</f>
        <v>ใช้  6 DB 12mm. ,  As = 6.786 cm.^2 ,</v>
      </c>
      <c r="R41" s="44" t="s">
        <v>99</v>
      </c>
      <c r="S41" s="35">
        <f>ROUND(MAX(ROUNDUP((S31/(PI()/4*(S8/10)^(2))),0),ROUNDUP(0.00125*H37*100*H25*100,0),ROUNDUP(S32/(PI()*(S8/10)),0))*PI()*(S8/10),3)</f>
        <v>22.619</v>
      </c>
      <c r="T41" s="35" t="s">
        <v>26</v>
      </c>
    </row>
    <row r="42" spans="1:20" ht="24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30" t="s">
        <v>100</v>
      </c>
      <c r="M42" s="8"/>
      <c r="N42" s="8"/>
      <c r="O42" s="37" t="str">
        <f>"ใช้  "&amp;MAX(ROUNDUP((S36/(PI()/4*(S8/10)^(2))),0),ROUNDUP(0.00125*H33*100*H25*100,0),ROUNDUP(S37/(PI()*(S8/10)),0))&amp;IF(S8&gt;=9,IF(H8&lt;=2400," RB "," DB "))&amp;S8&amp;"mm. ,  As = "&amp;ROUND(MAX(ROUNDUP((S36/(PI()/4*(S8/10)^(2))),0),ROUNDUP(0.00125*H33*100*H25*100,0),ROUNDUP(S37/(PI()*(S8/10)),0))*PI()/4*(S8/10)^(2),3)&amp;" cm.^2 ,"</f>
        <v>ใช้  7 DB 12mm. ,  As = 7.917 cm.^2 ,</v>
      </c>
      <c r="P42" s="38"/>
      <c r="Q42" s="38"/>
      <c r="R42" s="44" t="s">
        <v>99</v>
      </c>
      <c r="S42" s="35">
        <f>ROUND(MAX(ROUNDUP((S36/(PI()/4*(S8/10)^(2))),0),ROUNDUP(0.00125*H33*100*H25*100,0),ROUNDUP(S37/(PI()*(S8/10)),0))*PI()*(S8/10),3)</f>
        <v>26.388999999999999</v>
      </c>
      <c r="T42" s="35" t="s">
        <v>26</v>
      </c>
    </row>
    <row r="43" spans="1:20">
      <c r="P43" s="38"/>
      <c r="Q43" s="38"/>
    </row>
    <row r="46" spans="1:20">
      <c r="G46" s="11"/>
      <c r="M46" s="126"/>
      <c r="N46" s="126"/>
    </row>
    <row r="47" spans="1:20">
      <c r="M47" s="23"/>
    </row>
  </sheetData>
  <sheetProtection algorithmName="SHA-512" hashValue="/iz3JvQsI5JMX9kHDivVH/1nOkIjEGsFLGcKmALB7c6u5vj8wklRp0LmWTNn5cN9dPBaq3Z3Ql2qbFT4k6V+Kw==" saltValue="q7NaWh5K+Y0EGBbiQQ5v4Q==" spinCount="100000" sheet="1" objects="1" scenarios="1" selectLockedCells="1"/>
  <mergeCells count="43">
    <mergeCell ref="O39:R39"/>
    <mergeCell ref="O40:R40"/>
    <mergeCell ref="P27:R27"/>
    <mergeCell ref="Q31:R31"/>
    <mergeCell ref="Q32:R32"/>
    <mergeCell ref="Q36:R36"/>
    <mergeCell ref="Q37:R37"/>
    <mergeCell ref="L38:R38"/>
    <mergeCell ref="P33:T33"/>
    <mergeCell ref="P28:T28"/>
    <mergeCell ref="Q29:R29"/>
    <mergeCell ref="P25:Q25"/>
    <mergeCell ref="R25:U25"/>
    <mergeCell ref="P26:T26"/>
    <mergeCell ref="P16:R16"/>
    <mergeCell ref="P17:S17"/>
    <mergeCell ref="P18:R18"/>
    <mergeCell ref="P19:S19"/>
    <mergeCell ref="P20:R20"/>
    <mergeCell ref="T2:U2"/>
    <mergeCell ref="M46:N46"/>
    <mergeCell ref="N8:O9"/>
    <mergeCell ref="N2:R2"/>
    <mergeCell ref="N18:N19"/>
    <mergeCell ref="S5:T5"/>
    <mergeCell ref="S6:T6"/>
    <mergeCell ref="P10:R10"/>
    <mergeCell ref="P11:R11"/>
    <mergeCell ref="P12:R12"/>
    <mergeCell ref="P13:S13"/>
    <mergeCell ref="P15:S15"/>
    <mergeCell ref="P14:R14"/>
    <mergeCell ref="P8:R8"/>
    <mergeCell ref="P5:R5"/>
    <mergeCell ref="P6:R6"/>
    <mergeCell ref="C2:H2"/>
    <mergeCell ref="F23:G23"/>
    <mergeCell ref="F14:G14"/>
    <mergeCell ref="F15:G15"/>
    <mergeCell ref="P24:R24"/>
    <mergeCell ref="P7:R7"/>
    <mergeCell ref="P9:R9"/>
    <mergeCell ref="P21:S21"/>
  </mergeCells>
  <phoneticPr fontId="11" type="noConversion"/>
  <printOptions horizontalCentered="1" verticalCentered="1"/>
  <pageMargins left="0.44" right="0.22" top="0.48" bottom="0.25" header="0.25" footer="0"/>
  <pageSetup paperSize="9" scale="84" fitToWidth="0" orientation="portrait" horizontalDpi="4294967293" verticalDpi="0" r:id="rId1"/>
  <headerFooter alignWithMargins="0">
    <oddHeader>&amp;R&amp;P/&amp;N</oddHeader>
  </headerFooter>
  <colBreaks count="1" manualBreakCount="1">
    <brk id="1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/>
  <sheetData/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/>
  <sheetData/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sKz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KoOLz</dc:creator>
  <cp:keywords/>
  <dc:description/>
  <cp:lastModifiedBy>pinit senanunsakul</cp:lastModifiedBy>
  <cp:revision/>
  <dcterms:created xsi:type="dcterms:W3CDTF">2007-05-26T03:58:11Z</dcterms:created>
  <dcterms:modified xsi:type="dcterms:W3CDTF">2018-02-22T08:11:29Z</dcterms:modified>
  <cp:category/>
  <cp:contentStatus/>
</cp:coreProperties>
</file>