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Users\narate_m\Downloads\"/>
    </mc:Choice>
  </mc:AlternateContent>
  <xr:revisionPtr revIDLastSave="0" documentId="13_ncr:1_{83A83ECA-80EB-4AE3-900F-BDC3527CA1C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B23" i="1"/>
  <c r="B60" i="1"/>
  <c r="B58" i="1" l="1"/>
  <c r="B50" i="1"/>
  <c r="B47" i="1"/>
  <c r="B49" i="1" s="1"/>
  <c r="B36" i="1"/>
  <c r="B35" i="1"/>
  <c r="B34" i="1"/>
  <c r="B33" i="1"/>
  <c r="B32" i="1"/>
  <c r="B21" i="1"/>
  <c r="B22" i="1" s="1"/>
  <c r="B16" i="1"/>
  <c r="B17" i="1" s="1"/>
  <c r="B15" i="1"/>
  <c r="B46" i="1" s="1"/>
  <c r="B51" i="1" l="1"/>
  <c r="B52" i="1" s="1"/>
  <c r="B53" i="1" s="1"/>
  <c r="B25" i="1"/>
  <c r="B24" i="1"/>
  <c r="B19" i="1"/>
  <c r="B20" i="1"/>
  <c r="B28" i="1" l="1"/>
  <c r="B29" i="1" s="1"/>
  <c r="B45" i="1"/>
  <c r="B44" i="1"/>
  <c r="B43" i="1"/>
  <c r="B38" i="1"/>
  <c r="B39" i="1" s="1"/>
  <c r="B40" i="1"/>
  <c r="B41" i="1" s="1"/>
  <c r="B30" i="1"/>
  <c r="B31" i="1" s="1"/>
  <c r="B54" i="1"/>
  <c r="B55" i="1" l="1"/>
</calcChain>
</file>

<file path=xl/sharedStrings.xml><?xml version="1.0" encoding="utf-8"?>
<sst xmlns="http://schemas.openxmlformats.org/spreadsheetml/2006/main" count="94" uniqueCount="67">
  <si>
    <t>B</t>
  </si>
  <si>
    <t>No. Pc wire</t>
  </si>
  <si>
    <t>As Pc wire</t>
  </si>
  <si>
    <t>fsi = 70% fi</t>
  </si>
  <si>
    <t>Weight of pile</t>
  </si>
  <si>
    <t>Moment from lifitng</t>
  </si>
  <si>
    <t>Mu = 1.3 M lifting</t>
  </si>
  <si>
    <t>Bending stress (Mmax)</t>
  </si>
  <si>
    <t>ksc</t>
  </si>
  <si>
    <t>Bending stress (Mmin)</t>
  </si>
  <si>
    <t>EFFECTIVE STRESS</t>
  </si>
  <si>
    <t>Combine stress max com, - TENSION, + COM</t>
  </si>
  <si>
    <t>Combine stress max ten ,  - TENSION, + COM</t>
  </si>
  <si>
    <t>Allowable compressive stress at working state fca</t>
  </si>
  <si>
    <t>Allowable tension stress at working state fta</t>
  </si>
  <si>
    <t>Allowable compressive stress at prestressing state fci</t>
  </si>
  <si>
    <t>Allowable tensile stress at prestressing state fti</t>
  </si>
  <si>
    <t>Allowable modulus of rupture</t>
  </si>
  <si>
    <t>INITIAL STRESS</t>
  </si>
  <si>
    <t>Mcr</t>
  </si>
  <si>
    <t>kg-m</t>
  </si>
  <si>
    <t>Ton</t>
  </si>
  <si>
    <t>CM</t>
  </si>
  <si>
    <t>MU capacity</t>
  </si>
  <si>
    <t>Kg-m</t>
  </si>
  <si>
    <t>Safety factor between cracking and ultimate moment capacity</t>
  </si>
  <si>
    <t xml:space="preserve">Cm </t>
  </si>
  <si>
    <t>Actual P working load</t>
  </si>
  <si>
    <t>Mu actual</t>
  </si>
  <si>
    <t>Safety against Mu capacity</t>
  </si>
  <si>
    <t>หน่วย</t>
  </si>
  <si>
    <t>fc’ (cylinder at 28 days)</t>
  </si>
  <si>
    <t>A (Area)</t>
  </si>
  <si>
    <t>I  (Moment inertia )</t>
  </si>
  <si>
    <t>S (Secondary moment inertia</t>
  </si>
  <si>
    <t>L (Length)</t>
  </si>
  <si>
    <t>Pc wire diameter</t>
  </si>
  <si>
    <t>Ec (Modulus of concrete)</t>
  </si>
  <si>
    <t>Fi (initial prestressing force)</t>
  </si>
  <si>
    <t>fi (initial prestressing stress)</t>
  </si>
  <si>
    <t>cm^2</t>
  </si>
  <si>
    <t>mm</t>
  </si>
  <si>
    <t>m</t>
  </si>
  <si>
    <t>cm^3</t>
  </si>
  <si>
    <t>cm</t>
  </si>
  <si>
    <t>cm^4 about strong axis</t>
  </si>
  <si>
    <t>kg</t>
  </si>
  <si>
    <t>Fe = 80% Fi (Effective prestressing force)</t>
  </si>
  <si>
    <t>Total initial  prestress  stress</t>
  </si>
  <si>
    <t>Total Effective prestress  stress</t>
  </si>
  <si>
    <t>kg/m</t>
  </si>
  <si>
    <t>COMBINED STRESS CHECK</t>
  </si>
  <si>
    <t> SECTION CAPACITY CHECK</t>
  </si>
  <si>
    <t>Pu (Maximum ultimate axial load)</t>
  </si>
  <si>
    <t>Pa  (Maximum allowable axial load)</t>
  </si>
  <si>
    <t>Pa at driving  (Maximum allowable axial load when driving)</t>
  </si>
  <si>
    <t>B = D (Depth  of pile)</t>
  </si>
  <si>
    <t>D-D’ (Effecrtive depth of pile)</t>
  </si>
  <si>
    <t>D’  (Distant from tension face to centroid of prstress wire)</t>
  </si>
  <si>
    <t>AS (Total area of prestress wire)</t>
  </si>
  <si>
    <t>Steel ratio</t>
  </si>
  <si>
    <t>q</t>
  </si>
  <si>
    <t xml:space="preserve">Allowable Eccentric Diatance </t>
  </si>
  <si>
    <t>ค่าที่คำนวณได้</t>
  </si>
  <si>
    <t>ข้อมูลหน้าตัดและลวดอัดแรง</t>
  </si>
  <si>
    <t xml:space="preserve">FSU </t>
  </si>
  <si>
    <t>ตารางออกแบบเสาเข็ม I18 Version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</si>
</sst>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0">
    <font>
      <sz val="10"/>
      <color indexed="8"/>
      <name val="Helvetica Neue"/>
    </font>
    <font>
      <b/>
      <sz val="12"/>
      <color indexed="8"/>
      <name val="Helvetica Neue"/>
      <family val="2"/>
    </font>
    <font>
      <b/>
      <sz val="14"/>
      <color indexed="8"/>
      <name val="Helvetica Neue"/>
      <family val="2"/>
    </font>
    <font>
      <b/>
      <sz val="16"/>
      <color indexed="8"/>
      <name val="Helvetica Neue"/>
      <family val="2"/>
    </font>
    <font>
      <b/>
      <sz val="18"/>
      <color indexed="8"/>
      <name val="Helvetica Neue"/>
      <family val="2"/>
    </font>
    <font>
      <sz val="10"/>
      <color indexed="8"/>
      <name val="Helvetica Neue"/>
      <family val="2"/>
    </font>
    <font>
      <b/>
      <sz val="10"/>
      <color theme="0"/>
      <name val="Helvetica Neue"/>
      <family val="2"/>
    </font>
    <font>
      <b/>
      <sz val="12"/>
      <color theme="0"/>
      <name val="Helvetica Neue"/>
      <family val="2"/>
    </font>
    <font>
      <b/>
      <sz val="14"/>
      <color theme="0"/>
      <name val="Helvetica Neue"/>
      <family val="2"/>
    </font>
    <font>
      <sz val="12"/>
      <color indexed="8"/>
      <name val="Helvetica Neue"/>
      <family val="2"/>
    </font>
  </fonts>
  <fills count="9">
    <fill>
      <patternFill patternType="none"/>
    </fill>
    <fill>
      <patternFill patternType="gray125"/>
    </fill>
    <fill>
      <patternFill patternType="solid">
        <fgColor indexed="1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 style="thin">
        <color indexed="10"/>
      </top>
      <bottom/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thin">
        <color indexed="10"/>
      </top>
      <bottom style="thin">
        <color indexed="10"/>
      </bottom>
      <diagonal/>
    </border>
    <border>
      <left/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7">
    <xf numFmtId="0" fontId="0" fillId="0" borderId="0" xfId="0" applyFont="1" applyAlignment="1">
      <alignment vertical="top" wrapText="1"/>
    </xf>
    <xf numFmtId="49" fontId="1" fillId="3" borderId="11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49" fontId="0" fillId="0" borderId="12" xfId="0" applyNumberFormat="1" applyFont="1" applyBorder="1" applyAlignment="1" applyProtection="1">
      <alignment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0" fillId="8" borderId="4" xfId="0" applyNumberFormat="1" applyFont="1" applyFill="1" applyBorder="1" applyAlignment="1" applyProtection="1">
      <alignment horizontal="center" vertical="top" wrapText="1"/>
      <protection locked="0"/>
    </xf>
    <xf numFmtId="0" fontId="0" fillId="8" borderId="5" xfId="0" applyNumberFormat="1" applyFont="1" applyFill="1" applyBorder="1" applyAlignment="1" applyProtection="1">
      <alignment horizontal="center" vertical="top" wrapText="1"/>
      <protection locked="0"/>
    </xf>
    <xf numFmtId="0" fontId="0" fillId="8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NumberFormat="1" applyFont="1" applyAlignment="1" applyProtection="1">
      <alignment vertical="top" wrapText="1"/>
      <protection locked="0"/>
    </xf>
    <xf numFmtId="0" fontId="0" fillId="0" borderId="0" xfId="0" applyFont="1" applyAlignment="1" applyProtection="1">
      <alignment vertical="top" wrapText="1"/>
      <protection locked="0"/>
    </xf>
    <xf numFmtId="0" fontId="0" fillId="8" borderId="7" xfId="0" applyNumberFormat="1" applyFont="1" applyFill="1" applyBorder="1" applyAlignment="1" applyProtection="1">
      <alignment horizontal="center" vertical="top" wrapText="1"/>
      <protection locked="0"/>
    </xf>
    <xf numFmtId="0" fontId="0" fillId="8" borderId="0" xfId="0" applyNumberFormat="1" applyFont="1" applyFill="1" applyBorder="1" applyAlignment="1" applyProtection="1">
      <alignment horizontal="center" vertical="top" wrapText="1"/>
      <protection locked="0"/>
    </xf>
    <xf numFmtId="0" fontId="0" fillId="8" borderId="8" xfId="0" applyNumberFormat="1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10" xfId="0" applyFont="1" applyFill="1" applyBorder="1" applyAlignment="1" applyProtection="1">
      <alignment horizontal="center" vertical="center" wrapText="1"/>
      <protection locked="0"/>
    </xf>
    <xf numFmtId="49" fontId="1" fillId="7" borderId="11" xfId="0" applyNumberFormat="1" applyFont="1" applyFill="1" applyBorder="1" applyAlignment="1" applyProtection="1">
      <alignment vertical="top" wrapText="1"/>
      <protection locked="0"/>
    </xf>
    <xf numFmtId="3" fontId="9" fillId="0" borderId="1" xfId="0" applyNumberFormat="1" applyFont="1" applyBorder="1" applyAlignment="1" applyProtection="1">
      <alignment horizontal="center" vertical="center" wrapText="1"/>
      <protection locked="0"/>
    </xf>
    <xf numFmtId="49" fontId="8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1" xfId="0" applyNumberFormat="1" applyFont="1" applyFill="1" applyBorder="1" applyAlignment="1" applyProtection="1">
      <alignment vertical="center" wrapText="1"/>
      <protection locked="0"/>
    </xf>
    <xf numFmtId="49" fontId="1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1" xfId="0" applyNumberFormat="1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49" fontId="1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0" fillId="0" borderId="0" xfId="0" applyNumberFormat="1" applyFont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top" wrapText="1"/>
    </xf>
    <xf numFmtId="164" fontId="9" fillId="0" borderId="1" xfId="0" applyNumberFormat="1" applyFont="1" applyBorder="1" applyAlignment="1" applyProtection="1">
      <alignment horizontal="center" vertical="top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3" fontId="9" fillId="0" borderId="1" xfId="0" applyNumberFormat="1" applyFont="1" applyBorder="1" applyAlignment="1" applyProtection="1">
      <alignment horizontal="center" vertical="center" wrapText="1"/>
    </xf>
    <xf numFmtId="165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9" fontId="6" fillId="4" borderId="1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FEFEFE"/>
      <rgbColor rgb="FF00A1FE"/>
      <rgbColor rgb="FFF8BA00"/>
      <rgbColor rgb="FFFE634D"/>
      <rgbColor rgb="FF88F94E"/>
      <rgbColor rgb="FFDBDBDB"/>
      <rgbColor rgb="FFED220B"/>
      <rgbColor rgb="FFFF8CC5"/>
      <rgbColor rgb="FF60D836"/>
      <rgbColor rgb="FFFAE232"/>
      <rgbColor rgb="FFD5D5D5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136023</xdr:rowOff>
    </xdr:from>
    <xdr:to>
      <xdr:col>2</xdr:col>
      <xdr:colOff>533400</xdr:colOff>
      <xdr:row>70</xdr:row>
      <xdr:rowOff>214261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833098"/>
          <a:ext cx="5295900" cy="255473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="" xmlns:r="http://schemas.openxmlformats.org/officeDocument/2006/relationships" xmlns:m="http://schemas.openxmlformats.org/officeDocument/2006/math" xmlns:a14="http://schemas.microsoft.com/office/drawing/2010/main"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th-TH" sz="1800" b="1" i="0" u="sng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ข้อกำหนดการออกแบบเสาเข็มทั่วไป</a:t>
          </a:r>
        </a:p>
        <a:p>
          <a:pPr marL="228600" marR="0" indent="-22860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AutoNum type="arabicPeriod"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US" sz="1600" b="0" i="0" u="none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fc’ </a:t>
          </a:r>
          <a:r>
            <a:rPr lang="th-TH" sz="1600" b="0" i="0" u="none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อย่างน้อย350 </a:t>
          </a:r>
          <a:r>
            <a:rPr lang="en-US" sz="1600" b="0" i="0" u="none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cylinder</a:t>
          </a:r>
        </a:p>
        <a:p>
          <a:pPr marL="228600" marR="0" indent="-22860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AutoNum type="arabicPeriod"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US" sz="1600" b="0" i="0" u="none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Pc wire </a:t>
          </a:r>
          <a:r>
            <a:rPr lang="th-TH" sz="1600" b="0" i="0" u="none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ขนาด4มม ขึ้นไป</a:t>
          </a:r>
        </a:p>
        <a:p>
          <a:pPr marL="228600" marR="0" indent="-22860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AutoNum type="arabicPeriod"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th-TH" sz="1600" b="0" i="0" u="none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พื้นที่หน้าตัดเสาเข็ม 150 ตร ซม ขึ้นไป</a:t>
          </a:r>
        </a:p>
        <a:p>
          <a:pPr marL="228600" marR="0" indent="-22860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AutoNum type="arabicPeriod"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th-TH" sz="1600" b="0" i="0" u="none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มีเหล็กปลอกตลอดความยาวตามมาตรฐานเสาคอนกรีต</a:t>
          </a:r>
        </a:p>
        <a:p>
          <a:pPr marL="228600" marR="0" indent="-22860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100000"/>
            <a:buFontTx/>
            <a:buAutoNum type="arabicPeriod"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US" sz="1600" b="0" i="0" u="none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Spacing 20-25 </a:t>
          </a:r>
          <a:r>
            <a:rPr lang="th-TH" sz="1600" b="0" i="0" u="none" strike="noStrike" cap="none" spc="0" baseline="0">
              <a:solidFill>
                <a:srgbClr val="0070C0"/>
              </a:solidFill>
              <a:uFillTx/>
              <a:latin typeface="+mn-lt"/>
              <a:ea typeface="+mn-ea"/>
              <a:cs typeface="+mn-cs"/>
              <a:sym typeface="Helvetica Neue"/>
            </a:rPr>
            <a:t>ซม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sz="1600" b="0" i="0" u="none" strike="noStrike" cap="none" spc="0" baseline="0">
            <a:solidFill>
              <a:srgbClr val="0070C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504825</xdr:colOff>
      <xdr:row>1</xdr:row>
      <xdr:rowOff>1312950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CEF3C5-55BC-4652-9A14-89A6597E3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267324" cy="2579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60"/>
  <sheetViews>
    <sheetView showGridLines="0" tabSelected="1" topLeftCell="A12" workbookViewId="0">
      <selection activeCell="H13" sqref="H13"/>
    </sheetView>
  </sheetViews>
  <sheetFormatPr defaultColWidth="16.28515625" defaultRowHeight="20.100000000000001" customHeight="1"/>
  <cols>
    <col min="1" max="1" width="54" style="11" customWidth="1"/>
    <col min="2" max="2" width="17.42578125" style="11" customWidth="1"/>
    <col min="3" max="3" width="11.42578125" style="35" customWidth="1"/>
    <col min="4" max="242" width="16.28515625" style="11" customWidth="1"/>
    <col min="243" max="16384" width="16.28515625" style="12"/>
  </cols>
  <sheetData>
    <row r="1" spans="1:3" ht="99.75" customHeight="1">
      <c r="A1" s="8"/>
      <c r="B1" s="9"/>
      <c r="C1" s="10"/>
    </row>
    <row r="2" spans="1:3" ht="114" customHeight="1">
      <c r="A2" s="13"/>
      <c r="B2" s="14"/>
      <c r="C2" s="15"/>
    </row>
    <row r="3" spans="1:3" ht="33" customHeight="1">
      <c r="A3" s="16" t="s">
        <v>66</v>
      </c>
      <c r="B3" s="17"/>
      <c r="C3" s="18"/>
    </row>
    <row r="4" spans="1:3" ht="35.85" customHeight="1">
      <c r="A4" s="19" t="s">
        <v>64</v>
      </c>
      <c r="B4" s="20" t="s">
        <v>63</v>
      </c>
      <c r="C4" s="21" t="s">
        <v>30</v>
      </c>
    </row>
    <row r="5" spans="1:3" ht="20.100000000000001" customHeight="1">
      <c r="A5" s="22" t="s">
        <v>0</v>
      </c>
      <c r="B5" s="2">
        <v>18</v>
      </c>
      <c r="C5" s="3" t="s">
        <v>44</v>
      </c>
    </row>
    <row r="6" spans="1:3" ht="20.100000000000001" customHeight="1">
      <c r="A6" s="22" t="s">
        <v>31</v>
      </c>
      <c r="B6" s="2">
        <v>400</v>
      </c>
      <c r="C6" s="3" t="s">
        <v>8</v>
      </c>
    </row>
    <row r="7" spans="1:3" ht="20.100000000000001" customHeight="1">
      <c r="A7" s="22" t="s">
        <v>32</v>
      </c>
      <c r="B7" s="2">
        <v>204</v>
      </c>
      <c r="C7" s="3" t="s">
        <v>40</v>
      </c>
    </row>
    <row r="8" spans="1:3" ht="20.100000000000001" customHeight="1">
      <c r="A8" s="22" t="s">
        <v>33</v>
      </c>
      <c r="B8" s="2">
        <v>7708</v>
      </c>
      <c r="C8" s="3" t="s">
        <v>45</v>
      </c>
    </row>
    <row r="9" spans="1:3" ht="20.100000000000001" customHeight="1">
      <c r="A9" s="22" t="s">
        <v>34</v>
      </c>
      <c r="B9" s="2">
        <v>856</v>
      </c>
      <c r="C9" s="3" t="s">
        <v>43</v>
      </c>
    </row>
    <row r="10" spans="1:3" ht="20.100000000000001" customHeight="1">
      <c r="A10" s="22" t="s">
        <v>35</v>
      </c>
      <c r="B10" s="2">
        <v>14</v>
      </c>
      <c r="C10" s="3" t="s">
        <v>42</v>
      </c>
    </row>
    <row r="11" spans="1:3" ht="20.100000000000001" customHeight="1">
      <c r="A11" s="22" t="s">
        <v>36</v>
      </c>
      <c r="B11" s="2">
        <v>5</v>
      </c>
      <c r="C11" s="3" t="s">
        <v>41</v>
      </c>
    </row>
    <row r="12" spans="1:3" ht="20.100000000000001" customHeight="1">
      <c r="A12" s="22" t="s">
        <v>1</v>
      </c>
      <c r="B12" s="2">
        <v>8</v>
      </c>
      <c r="C12" s="4"/>
    </row>
    <row r="13" spans="1:3" ht="20.100000000000001" customHeight="1">
      <c r="A13" s="22" t="s">
        <v>2</v>
      </c>
      <c r="B13" s="2">
        <v>0.19639999999999999</v>
      </c>
      <c r="C13" s="3" t="s">
        <v>40</v>
      </c>
    </row>
    <row r="14" spans="1:3" ht="20.100000000000001" customHeight="1">
      <c r="A14" s="22" t="s">
        <v>39</v>
      </c>
      <c r="B14" s="2">
        <v>18000</v>
      </c>
      <c r="C14" s="3" t="s">
        <v>8</v>
      </c>
    </row>
    <row r="15" spans="1:3" ht="20.100000000000001" customHeight="1">
      <c r="A15" s="22" t="s">
        <v>37</v>
      </c>
      <c r="B15" s="23">
        <f>15100*SQRT(B6)</f>
        <v>302000</v>
      </c>
      <c r="C15" s="3" t="s">
        <v>8</v>
      </c>
    </row>
    <row r="16" spans="1:3" ht="20.100000000000001" customHeight="1">
      <c r="A16" s="1" t="s">
        <v>3</v>
      </c>
      <c r="B16" s="6">
        <f>0.7*B14</f>
        <v>12600</v>
      </c>
      <c r="C16" s="3" t="s">
        <v>8</v>
      </c>
    </row>
    <row r="17" spans="1:3" ht="20.100000000000001" customHeight="1">
      <c r="A17" s="1" t="s">
        <v>38</v>
      </c>
      <c r="B17" s="7">
        <f>B16*B13</f>
        <v>2474.64</v>
      </c>
      <c r="C17" s="3" t="s">
        <v>46</v>
      </c>
    </row>
    <row r="18" spans="1:3" ht="20.100000000000001" customHeight="1">
      <c r="A18" s="1" t="s">
        <v>47</v>
      </c>
      <c r="B18" s="7">
        <f>B17*0.8</f>
        <v>1979.712</v>
      </c>
      <c r="C18" s="3" t="s">
        <v>46</v>
      </c>
    </row>
    <row r="19" spans="1:3" ht="20.100000000000001" customHeight="1">
      <c r="A19" s="1" t="s">
        <v>48</v>
      </c>
      <c r="B19" s="7">
        <f>B17/B7*B12</f>
        <v>97.044705882352943</v>
      </c>
      <c r="C19" s="4" t="s">
        <v>8</v>
      </c>
    </row>
    <row r="20" spans="1:3" ht="20.100000000000001" customHeight="1">
      <c r="A20" s="1" t="s">
        <v>49</v>
      </c>
      <c r="B20" s="7">
        <f>B18/B7*B12</f>
        <v>77.635764705882352</v>
      </c>
      <c r="C20" s="4" t="s">
        <v>8</v>
      </c>
    </row>
    <row r="21" spans="1:3" ht="20.100000000000001" customHeight="1">
      <c r="A21" s="1" t="s">
        <v>4</v>
      </c>
      <c r="B21" s="6">
        <f>2400*B7/10000</f>
        <v>48.96</v>
      </c>
      <c r="C21" s="3" t="s">
        <v>50</v>
      </c>
    </row>
    <row r="22" spans="1:3" ht="20.100000000000001" customHeight="1">
      <c r="A22" s="1" t="s">
        <v>5</v>
      </c>
      <c r="B22" s="7">
        <f>0.0215*B21*B10*B10</f>
        <v>206.31744</v>
      </c>
      <c r="C22" s="3" t="s">
        <v>20</v>
      </c>
    </row>
    <row r="23" spans="1:3" ht="20.100000000000001" customHeight="1">
      <c r="A23" s="1" t="s">
        <v>6</v>
      </c>
      <c r="B23" s="7">
        <f>B22*1.3</f>
        <v>268.212672</v>
      </c>
      <c r="C23" s="3" t="s">
        <v>20</v>
      </c>
    </row>
    <row r="24" spans="1:3" ht="20.100000000000001" customHeight="1">
      <c r="A24" s="1" t="s">
        <v>7</v>
      </c>
      <c r="B24" s="7">
        <f>B23*100/B9</f>
        <v>31.333256074766354</v>
      </c>
      <c r="C24" s="5" t="s">
        <v>8</v>
      </c>
    </row>
    <row r="25" spans="1:3" ht="20.100000000000001" customHeight="1">
      <c r="A25" s="1" t="s">
        <v>9</v>
      </c>
      <c r="B25" s="7">
        <f>B22*100/B9</f>
        <v>24.102504672897194</v>
      </c>
      <c r="C25" s="5" t="s">
        <v>8</v>
      </c>
    </row>
    <row r="26" spans="1:3" ht="20.100000000000001" customHeight="1">
      <c r="A26" s="24" t="s">
        <v>51</v>
      </c>
      <c r="B26" s="25"/>
      <c r="C26" s="26"/>
    </row>
    <row r="27" spans="1:3" ht="20.100000000000001" customHeight="1">
      <c r="A27" s="27" t="s">
        <v>10</v>
      </c>
      <c r="B27" s="36"/>
      <c r="C27" s="4"/>
    </row>
    <row r="28" spans="1:3" ht="20.100000000000001" customHeight="1">
      <c r="A28" s="28" t="s">
        <v>11</v>
      </c>
      <c r="B28" s="37">
        <f>B20+B24</f>
        <v>108.96902078064871</v>
      </c>
      <c r="C28" s="5" t="s">
        <v>8</v>
      </c>
    </row>
    <row r="29" spans="1:3" ht="15.75">
      <c r="A29" s="29"/>
      <c r="B29" s="38" t="str">
        <f>IF(B28&lt;B32,"OK")</f>
        <v>OK</v>
      </c>
      <c r="C29" s="4"/>
    </row>
    <row r="30" spans="1:3" ht="20.100000000000001" customHeight="1">
      <c r="A30" s="28" t="s">
        <v>12</v>
      </c>
      <c r="B30" s="37">
        <f>-B24+B20</f>
        <v>46.302508631115998</v>
      </c>
      <c r="C30" s="5" t="s">
        <v>8</v>
      </c>
    </row>
    <row r="31" spans="1:3" ht="15.75">
      <c r="A31" s="29"/>
      <c r="B31" s="39" t="str">
        <f>IF(B30&gt;0,"OK",IF(B30&lt;B33,"NK","OK"))</f>
        <v>OK</v>
      </c>
      <c r="C31" s="4"/>
    </row>
    <row r="32" spans="1:3" ht="31.5">
      <c r="A32" s="30" t="s">
        <v>13</v>
      </c>
      <c r="B32" s="40">
        <f>0.45*B6</f>
        <v>180</v>
      </c>
      <c r="C32" s="5" t="s">
        <v>8</v>
      </c>
    </row>
    <row r="33" spans="1:3" ht="15.75">
      <c r="A33" s="30" t="s">
        <v>14</v>
      </c>
      <c r="B33" s="40">
        <f>-1.59*SQRT(B6)</f>
        <v>-31.8</v>
      </c>
      <c r="C33" s="5" t="s">
        <v>8</v>
      </c>
    </row>
    <row r="34" spans="1:3" ht="31.5">
      <c r="A34" s="30" t="s">
        <v>15</v>
      </c>
      <c r="B34" s="40">
        <f>0.8*B6*0.6</f>
        <v>192</v>
      </c>
      <c r="C34" s="5" t="s">
        <v>8</v>
      </c>
    </row>
    <row r="35" spans="1:3" ht="15.75">
      <c r="A35" s="30" t="s">
        <v>16</v>
      </c>
      <c r="B35" s="40">
        <f>-0.8*SQRT((0.8*B6))</f>
        <v>-14.310835055998655</v>
      </c>
      <c r="C35" s="5" t="s">
        <v>8</v>
      </c>
    </row>
    <row r="36" spans="1:3" ht="20.100000000000001" customHeight="1">
      <c r="A36" s="30" t="s">
        <v>17</v>
      </c>
      <c r="B36" s="40">
        <f>-2*SQRT(B6)</f>
        <v>-40</v>
      </c>
      <c r="C36" s="5" t="s">
        <v>8</v>
      </c>
    </row>
    <row r="37" spans="1:3" ht="20.100000000000001" customHeight="1">
      <c r="A37" s="27" t="s">
        <v>18</v>
      </c>
      <c r="B37" s="41"/>
      <c r="C37" s="4"/>
    </row>
    <row r="38" spans="1:3" ht="20.100000000000001" customHeight="1">
      <c r="A38" s="28" t="s">
        <v>11</v>
      </c>
      <c r="B38" s="37">
        <f>B19+B25</f>
        <v>121.14721055525014</v>
      </c>
      <c r="C38" s="5" t="s">
        <v>8</v>
      </c>
    </row>
    <row r="39" spans="1:3" ht="20.100000000000001" customHeight="1">
      <c r="A39" s="29"/>
      <c r="B39" s="39" t="str">
        <f>IF(B38&lt;B34,"OK")</f>
        <v>OK</v>
      </c>
      <c r="C39" s="4"/>
    </row>
    <row r="40" spans="1:3" ht="20.100000000000001" customHeight="1">
      <c r="A40" s="28" t="s">
        <v>12</v>
      </c>
      <c r="B40" s="37">
        <f>B19-B25</f>
        <v>72.942201209455746</v>
      </c>
      <c r="C40" s="5" t="s">
        <v>8</v>
      </c>
    </row>
    <row r="41" spans="1:3" ht="20.100000000000001" customHeight="1">
      <c r="A41" s="29"/>
      <c r="B41" s="39" t="str">
        <f>IF(B40&gt;0,"OK",IF(B40&lt;B35,"NK","OK"))</f>
        <v>OK</v>
      </c>
      <c r="C41" s="4"/>
    </row>
    <row r="42" spans="1:3" ht="20.100000000000001" customHeight="1">
      <c r="A42" s="24" t="s">
        <v>52</v>
      </c>
      <c r="B42" s="25"/>
      <c r="C42" s="26"/>
    </row>
    <row r="43" spans="1:3" ht="15.75">
      <c r="A43" s="1" t="s">
        <v>19</v>
      </c>
      <c r="B43" s="7">
        <f>(B20-B36)*B9/100</f>
        <v>1006.962145882353</v>
      </c>
      <c r="C43" s="5" t="s">
        <v>20</v>
      </c>
    </row>
    <row r="44" spans="1:3" ht="15.75">
      <c r="A44" s="1" t="s">
        <v>53</v>
      </c>
      <c r="B44" s="7">
        <f>(0.85*B6-0.6*B20)*B7/100</f>
        <v>598.57382399999995</v>
      </c>
      <c r="C44" s="5" t="s">
        <v>21</v>
      </c>
    </row>
    <row r="45" spans="1:3" ht="15.75">
      <c r="A45" s="1" t="s">
        <v>54</v>
      </c>
      <c r="B45" s="7">
        <f>(0.33*B6-0.27*B20)*B7/1000</f>
        <v>22.651822079999999</v>
      </c>
      <c r="C45" s="5" t="s">
        <v>21</v>
      </c>
    </row>
    <row r="46" spans="1:3" ht="31.5">
      <c r="A46" s="1" t="s">
        <v>55</v>
      </c>
      <c r="B46" s="42">
        <f>(3.14*3.14)*B15*B8/(B10*B10*10000)/1000</f>
        <v>11.709864608979593</v>
      </c>
      <c r="C46" s="5" t="s">
        <v>21</v>
      </c>
    </row>
    <row r="47" spans="1:3" ht="15.75">
      <c r="A47" s="1" t="s">
        <v>56</v>
      </c>
      <c r="B47" s="6">
        <f>B5</f>
        <v>18</v>
      </c>
      <c r="C47" s="3" t="s">
        <v>44</v>
      </c>
    </row>
    <row r="48" spans="1:3" ht="31.5">
      <c r="A48" s="1" t="s">
        <v>58</v>
      </c>
      <c r="B48" s="6">
        <v>2.2000000000000002</v>
      </c>
      <c r="C48" s="5" t="s">
        <v>22</v>
      </c>
    </row>
    <row r="49" spans="1:3" ht="15.75">
      <c r="A49" s="1" t="s">
        <v>57</v>
      </c>
      <c r="B49" s="6">
        <f>B47-B48</f>
        <v>15.8</v>
      </c>
      <c r="C49" s="4"/>
    </row>
    <row r="50" spans="1:3" ht="15.75">
      <c r="A50" s="1" t="s">
        <v>59</v>
      </c>
      <c r="B50" s="6">
        <f>B12*B13/2</f>
        <v>0.78559999999999997</v>
      </c>
      <c r="C50" s="4"/>
    </row>
    <row r="51" spans="1:3" ht="15.75">
      <c r="A51" s="1" t="s">
        <v>60</v>
      </c>
      <c r="B51" s="43">
        <f>B50/B5/B49</f>
        <v>2.7623066104078761E-3</v>
      </c>
      <c r="C51" s="4"/>
    </row>
    <row r="52" spans="1:3" ht="15.75">
      <c r="A52" s="1" t="s">
        <v>65</v>
      </c>
      <c r="B52" s="44">
        <f>B14*(1-0.5*B51*B14/B6)</f>
        <v>16881.265822784808</v>
      </c>
      <c r="C52" s="4"/>
    </row>
    <row r="53" spans="1:3" ht="15.75">
      <c r="A53" s="1" t="s">
        <v>61</v>
      </c>
      <c r="B53" s="44">
        <f>B51*B52/B6</f>
        <v>0.11657808043582757</v>
      </c>
      <c r="C53" s="4"/>
    </row>
    <row r="54" spans="1:3" ht="15.75">
      <c r="A54" s="1" t="s">
        <v>23</v>
      </c>
      <c r="B54" s="44">
        <f>0.9*(B50*B52*B49*(1-0.59*B53))/100</f>
        <v>1756.1349120198104</v>
      </c>
      <c r="C54" s="5" t="s">
        <v>24</v>
      </c>
    </row>
    <row r="55" spans="1:3" ht="31.5">
      <c r="A55" s="1" t="s">
        <v>25</v>
      </c>
      <c r="B55" s="44">
        <f>B54/B43</f>
        <v>1.743992978485793</v>
      </c>
      <c r="C55" s="31"/>
    </row>
    <row r="56" spans="1:3" ht="15.75">
      <c r="A56" s="1" t="s">
        <v>62</v>
      </c>
      <c r="B56" s="44">
        <v>5</v>
      </c>
      <c r="C56" s="5" t="s">
        <v>26</v>
      </c>
    </row>
    <row r="57" spans="1:3" ht="15.75">
      <c r="A57" s="1" t="s">
        <v>27</v>
      </c>
      <c r="B57" s="44">
        <v>5</v>
      </c>
      <c r="C57" s="5" t="s">
        <v>21</v>
      </c>
    </row>
    <row r="58" spans="1:3" ht="15.75">
      <c r="A58" s="1" t="s">
        <v>28</v>
      </c>
      <c r="B58" s="44">
        <f>B57*1.7*B56/100*1000</f>
        <v>425</v>
      </c>
      <c r="C58" s="5" t="s">
        <v>24</v>
      </c>
    </row>
    <row r="59" spans="1:3" ht="15.75">
      <c r="A59" s="32" t="s">
        <v>29</v>
      </c>
      <c r="B59" s="45">
        <v>5</v>
      </c>
      <c r="C59" s="4"/>
    </row>
    <row r="60" spans="1:3" ht="24" customHeight="1" thickBot="1">
      <c r="A60" s="33"/>
      <c r="B60" s="46" t="str">
        <f>IF(B59&gt;2,"OK","NOT OK")</f>
        <v>OK</v>
      </c>
      <c r="C60" s="34"/>
    </row>
  </sheetData>
  <mergeCells count="9">
    <mergeCell ref="A3:C3"/>
    <mergeCell ref="A59:A60"/>
    <mergeCell ref="A1:C2"/>
    <mergeCell ref="A26:C26"/>
    <mergeCell ref="A42:C42"/>
    <mergeCell ref="A28:A29"/>
    <mergeCell ref="A30:A31"/>
    <mergeCell ref="A38:A39"/>
    <mergeCell ref="A40:A4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PSadmin</cp:lastModifiedBy>
  <dcterms:modified xsi:type="dcterms:W3CDTF">2019-12-01T14:46:29Z</dcterms:modified>
</cp:coreProperties>
</file>